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данные'!$A$1:$J$28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BC24" i="4" l="1"/>
  <c r="BC25" i="4"/>
  <c r="BB7" i="4" l="1"/>
  <c r="D22" i="2" l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7" i="2"/>
  <c r="F27" i="1" l="1"/>
  <c r="E27" i="1"/>
  <c r="I22" i="4" l="1"/>
  <c r="I23" i="4"/>
  <c r="I24" i="4"/>
  <c r="H22" i="4"/>
  <c r="H23" i="4"/>
  <c r="H24" i="4"/>
  <c r="G22" i="4"/>
  <c r="G23" i="4"/>
  <c r="G24" i="4"/>
  <c r="D27" i="1" l="1"/>
  <c r="C27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25" i="4" l="1"/>
  <c r="E25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5" i="4" s="1"/>
  <c r="H9" i="4"/>
  <c r="B6" i="2"/>
  <c r="C6" i="2" s="1"/>
  <c r="D6" i="2" s="1"/>
  <c r="H25" i="4" l="1"/>
  <c r="K22" i="4" s="1"/>
  <c r="L24" i="4"/>
  <c r="L23" i="4"/>
  <c r="L22" i="4"/>
  <c r="L7" i="4"/>
  <c r="F25" i="4"/>
  <c r="E6" i="2"/>
  <c r="F6" i="2" s="1"/>
  <c r="G6" i="2" s="1"/>
  <c r="L21" i="4"/>
  <c r="K24" i="4" l="1"/>
  <c r="K23" i="4"/>
  <c r="M7" i="4"/>
  <c r="N7" i="4" s="1"/>
  <c r="O7" i="4" s="1"/>
  <c r="P7" i="4" s="1"/>
  <c r="Q7" i="4" s="1"/>
  <c r="R7" i="4" s="1"/>
  <c r="S7" i="4" s="1"/>
  <c r="J25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25" i="4"/>
  <c r="M24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5" i="4" l="1"/>
  <c r="Z7" i="4"/>
  <c r="AA7" i="4" s="1"/>
  <c r="AB7" i="4" s="1"/>
  <c r="AC7" i="4" s="1"/>
  <c r="AD7" i="4" s="1"/>
  <c r="AE7" i="4" s="1"/>
  <c r="O22" i="4" l="1"/>
  <c r="P22" i="4" s="1"/>
  <c r="O23" i="4"/>
  <c r="P23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5" i="4" l="1"/>
  <c r="AL7" i="4"/>
  <c r="AM7" i="4" s="1"/>
  <c r="AN7" i="4" s="1"/>
  <c r="AO7" i="4" s="1"/>
  <c r="AP7" i="4" s="1"/>
  <c r="AQ7" i="4" s="1"/>
  <c r="Q24" i="4" l="1"/>
  <c r="Q23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25" i="4" l="1"/>
  <c r="T22" i="4"/>
  <c r="T24" i="4"/>
  <c r="T23" i="4"/>
  <c r="AX7" i="4"/>
  <c r="AY7" i="4" s="1"/>
  <c r="AZ7" i="4" s="1"/>
  <c r="BA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5" i="4" l="1"/>
  <c r="R25" i="4"/>
  <c r="U17" i="4" l="1"/>
  <c r="V17" i="4" s="1"/>
  <c r="U23" i="4"/>
  <c r="V23" i="4" s="1"/>
  <c r="U24" i="4"/>
  <c r="V24" i="4" s="1"/>
  <c r="U22" i="4"/>
  <c r="V22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5" i="4" s="1"/>
  <c r="BC7" i="4" l="1"/>
  <c r="BD7" i="4" s="1"/>
  <c r="W23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4" i="4" l="1"/>
  <c r="Z23" i="4"/>
  <c r="W25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25" i="4" l="1"/>
  <c r="X25" i="4"/>
  <c r="AA23" i="4" l="1"/>
  <c r="AB23" i="4" s="1"/>
  <c r="AA24" i="4"/>
  <c r="AB24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5" i="4" l="1"/>
  <c r="AC23" i="4" l="1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4" i="4" l="1"/>
  <c r="AF23" i="4"/>
  <c r="AC25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25" i="4" l="1"/>
  <c r="AD25" i="4"/>
  <c r="AG17" i="4" l="1"/>
  <c r="AH17" i="4" s="1"/>
  <c r="AG24" i="4"/>
  <c r="AH24" i="4" s="1"/>
  <c r="AG23" i="4"/>
  <c r="AH23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5" i="4" l="1"/>
  <c r="AI24" i="4" l="1"/>
  <c r="AI22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25" i="4" l="1"/>
  <c r="AL24" i="4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25" i="4" l="1"/>
  <c r="AJ25" i="4"/>
  <c r="AM22" i="4" l="1"/>
  <c r="AN22" i="4" s="1"/>
  <c r="AM24" i="4"/>
  <c r="AN24" i="4" s="1"/>
  <c r="AM23" i="4"/>
  <c r="AN23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5" i="4" l="1"/>
  <c r="AO22" i="4" s="1"/>
  <c r="AR22" i="4" l="1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25" i="4" l="1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25" i="4" l="1"/>
  <c r="AP25" i="4"/>
  <c r="AS21" i="4" l="1"/>
  <c r="AT21" i="4" s="1"/>
  <c r="AS23" i="4"/>
  <c r="AT23" i="4" s="1"/>
  <c r="AS22" i="4"/>
  <c r="AT22" i="4" s="1"/>
  <c r="AS24" i="4"/>
  <c r="AT24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5" i="4" l="1"/>
  <c r="AU22" i="4" l="1"/>
  <c r="AU24" i="4"/>
  <c r="AU23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25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25" i="4" l="1"/>
  <c r="AV25" i="4"/>
  <c r="AY22" i="4" l="1"/>
  <c r="AZ22" i="4" s="1"/>
  <c r="AY24" i="4"/>
  <c r="AZ24" i="4" s="1"/>
  <c r="AY23" i="4"/>
  <c r="AZ23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5" i="4" l="1"/>
  <c r="BA24" i="4" l="1"/>
  <c r="BB24" i="4" s="1"/>
  <c r="BA22" i="4"/>
  <c r="BB22" i="4" s="1"/>
  <c r="BA23" i="4"/>
  <c r="BB23" i="4" s="1"/>
  <c r="BA17" i="4"/>
  <c r="BB17" i="4" s="1"/>
  <c r="BA20" i="4"/>
  <c r="BB20" i="4" s="1"/>
  <c r="BA10" i="4"/>
  <c r="BB10" i="4" s="1"/>
  <c r="BA12" i="4"/>
  <c r="BB12" i="4" s="1"/>
  <c r="BA11" i="4"/>
  <c r="BB11" i="4" s="1"/>
  <c r="BA19" i="4"/>
  <c r="BB19" i="4" s="1"/>
  <c r="BA9" i="4"/>
  <c r="BB9" i="4" s="1"/>
  <c r="BA14" i="4"/>
  <c r="BB14" i="4" s="1"/>
  <c r="BA21" i="4"/>
  <c r="BB21" i="4" s="1"/>
  <c r="BA13" i="4"/>
  <c r="BB13" i="4" s="1"/>
  <c r="BA18" i="4"/>
  <c r="BB18" i="4" s="1"/>
  <c r="BA15" i="4"/>
  <c r="BB15" i="4" s="1"/>
  <c r="BA16" i="4"/>
  <c r="BB16" i="4" s="1"/>
  <c r="BA25" i="4" l="1"/>
  <c r="BC14" i="4" l="1"/>
  <c r="BD14" i="4" s="1"/>
  <c r="BC21" i="4"/>
  <c r="BD21" i="4" s="1"/>
  <c r="BC22" i="4"/>
  <c r="BD22" i="4" s="1"/>
  <c r="BD24" i="4"/>
  <c r="BC13" i="4"/>
  <c r="BD13" i="4" s="1"/>
  <c r="BC20" i="4" l="1"/>
  <c r="BD20" i="4" s="1"/>
  <c r="BC15" i="4"/>
  <c r="BD15" i="4" s="1"/>
  <c r="BC16" i="4"/>
  <c r="BD16" i="4" s="1"/>
  <c r="BC12" i="4"/>
  <c r="BD12" i="4" s="1"/>
  <c r="BC10" i="4"/>
  <c r="BD10" i="4" s="1"/>
  <c r="BC23" i="4"/>
  <c r="BD23" i="4" s="1"/>
  <c r="BC19" i="4"/>
  <c r="BD19" i="4" s="1"/>
  <c r="BC17" i="4"/>
  <c r="BD17" i="4" s="1"/>
  <c r="BC11" i="4"/>
  <c r="BD11" i="4" s="1"/>
  <c r="BC18" i="4"/>
  <c r="BD18" i="4" s="1"/>
  <c r="BC9" i="4" l="1"/>
  <c r="BD9" i="4" s="1"/>
  <c r="BB25" i="4"/>
</calcChain>
</file>

<file path=xl/sharedStrings.xml><?xml version="1.0" encoding="utf-8"?>
<sst xmlns="http://schemas.openxmlformats.org/spreadsheetml/2006/main" count="589" uniqueCount="112">
  <si>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</si>
  <si>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</si>
  <si>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</si>
  <si>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</si>
  <si>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</si>
  <si>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</si>
  <si>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</si>
  <si>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</si>
  <si>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</si>
  <si>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</si>
  <si>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</si>
  <si>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</si>
  <si>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</si>
  <si>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</si>
  <si>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</si>
  <si>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</si>
  <si>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</si>
  <si>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</si>
  <si>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</si>
  <si>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</si>
  <si>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</si>
  <si>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</si>
  <si>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</si>
  <si>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</si>
  <si>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</si>
  <si>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</si>
  <si>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</si>
  <si>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</si>
  <si>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</si>
  <si>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</si>
  <si>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</si>
  <si>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</si>
  <si>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</si>
  <si>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</si>
  <si>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</si>
  <si>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</si>
  <si>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</si>
  <si>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</si>
  <si>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</si>
  <si>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</si>
  <si>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</si>
  <si>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</si>
  <si>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</si>
  <si>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</si>
  <si>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</si>
  <si>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</si>
  <si>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</si>
  <si>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</si>
  <si>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</si>
  <si>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</si>
  <si>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</si>
  <si>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</si>
  <si>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</si>
  <si>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</si>
  <si>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</si>
  <si>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</si>
  <si>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</si>
  <si>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</si>
  <si>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</si>
  <si>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</si>
  <si>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</si>
  <si>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</si>
  <si>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</si>
  <si>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</si>
  <si>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</si>
  <si>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</si>
  <si>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</si>
  <si>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</si>
  <si>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</si>
  <si>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</si>
  <si>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</si>
  <si>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</si>
  <si>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</si>
  <si>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</si>
  <si>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</si>
  <si>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</si>
  <si>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</si>
  <si>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</si>
  <si>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</si>
  <si>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</si>
  <si>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</si>
  <si>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</si>
  <si>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</si>
  <si>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</si>
  <si>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Называевское городское поселение</t>
  </si>
  <si>
    <t>Богодуховское сельское поселение</t>
  </si>
  <si>
    <t>Большепесчанское сельское поселение</t>
  </si>
  <si>
    <t>Большесафонинское сельское поселение</t>
  </si>
  <si>
    <t>Жирновское сельское поселение</t>
  </si>
  <si>
    <t>Искровское сельское поселение</t>
  </si>
  <si>
    <t>Кисляковское сельское поселение</t>
  </si>
  <si>
    <t>Князевское сельское поселение</t>
  </si>
  <si>
    <t>Лорис-Меликовское сельское поселение</t>
  </si>
  <si>
    <t>Мангутское сельское поселение</t>
  </si>
  <si>
    <t>Муравьевское сельское поселение</t>
  </si>
  <si>
    <t>Налимовское сельское поселение</t>
  </si>
  <si>
    <t>Покровское сельское поселение</t>
  </si>
  <si>
    <t>Старинское сельское поселение</t>
  </si>
  <si>
    <t>Утинское сельское поселение</t>
  </si>
  <si>
    <t>Черемновское сельское поселение</t>
  </si>
  <si>
    <t xml:space="preserve"> коэффициент количества населенных пунктов</t>
  </si>
  <si>
    <t>количество населенных пунктов</t>
  </si>
  <si>
    <t>км</t>
  </si>
  <si>
    <t xml:space="preserve">коэффициент удаленности от райцентра </t>
  </si>
  <si>
    <t>удаленность от райцентра</t>
  </si>
  <si>
    <t>Кi=1+КiНП/(∑КНП/КП)</t>
  </si>
  <si>
    <t xml:space="preserve">Численность постоянного населения </t>
  </si>
  <si>
    <t>Численность постоянного населения на начало текущего года</t>
  </si>
  <si>
    <t>Расчет размера дотации бюджетам поселений, входящих в состав Называевского муниципального района Омской области, на выравнивание бюджетной обеспеченности на 2025 год</t>
  </si>
  <si>
    <t>на 01.01.2024</t>
  </si>
  <si>
    <t>2025 год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</si>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</sst>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7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39" borderId="58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8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2" xfId="0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6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0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7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2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5" xfId="0" applyFont="1" applyFill="1" applyBorder="1" applyAlignment="1">
      <alignment wrapText="1"/>
    </xf>
    <xf numFmtId="0" fontId="42" fillId="0" borderId="68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2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23" fillId="0" borderId="70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0" fontId="35" fillId="0" borderId="80" xfId="0" applyFont="1" applyFill="1" applyBorder="1" applyAlignment="1">
      <alignment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81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0" fontId="23" fillId="0" borderId="82" xfId="0" applyFont="1" applyFill="1" applyBorder="1" applyAlignment="1">
      <alignment wrapText="1"/>
    </xf>
    <xf numFmtId="0" fontId="42" fillId="0" borderId="81" xfId="0" applyFont="1" applyFill="1" applyBorder="1" applyAlignment="1">
      <alignment wrapText="1"/>
    </xf>
    <xf numFmtId="0" fontId="42" fillId="0" borderId="83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0" fontId="21" fillId="45" borderId="57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7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27"/>
  <sheetViews>
    <sheetView view="pageBreakPreview" zoomScale="75" zoomScaleNormal="90" zoomScaleSheetLayoutView="75" workbookViewId="0">
      <selection activeCell="D27" sqref="D27"/>
    </sheetView>
  </sheetViews>
  <sheetFormatPr defaultRowHeight="15.75" x14ac:dyDescent="0.2"/>
  <cols>
    <col min="1" max="1" width="7.28515625" style="1" customWidth="1"/>
    <col min="2" max="2" width="41.14062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17" t="s">
        <v>67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s="4" customFormat="1" ht="16.5" x14ac:dyDescent="0.2">
      <c r="B3" s="210"/>
      <c r="C3" s="210"/>
      <c r="D3" s="210"/>
      <c r="E3" s="210"/>
      <c r="F3" s="210"/>
      <c r="G3" s="210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24" t="s">
        <v>0</v>
      </c>
      <c r="B5" s="211" t="s">
        <v>7</v>
      </c>
      <c r="C5" s="214" t="s">
        <v>47</v>
      </c>
      <c r="D5" s="215"/>
      <c r="E5" s="215"/>
      <c r="F5" s="215"/>
      <c r="G5" s="215"/>
      <c r="H5" s="215"/>
      <c r="I5" s="215"/>
      <c r="J5" s="216"/>
    </row>
    <row r="6" spans="1:10" s="7" customFormat="1" ht="51.75" customHeight="1" x14ac:dyDescent="0.2">
      <c r="A6" s="225"/>
      <c r="B6" s="212"/>
      <c r="C6" s="101" t="s">
        <v>106</v>
      </c>
      <c r="D6" s="101" t="s">
        <v>53</v>
      </c>
      <c r="E6" s="218" t="s">
        <v>63</v>
      </c>
      <c r="F6" s="219"/>
      <c r="G6" s="219"/>
      <c r="H6" s="219"/>
      <c r="I6" s="219"/>
      <c r="J6" s="220"/>
    </row>
    <row r="7" spans="1:10" s="7" customFormat="1" ht="19.5" customHeight="1" thickBot="1" x14ac:dyDescent="0.25">
      <c r="A7" s="225"/>
      <c r="B7" s="212"/>
      <c r="C7" s="102" t="s">
        <v>109</v>
      </c>
      <c r="D7" s="104" t="s">
        <v>110</v>
      </c>
      <c r="E7" s="221"/>
      <c r="F7" s="222"/>
      <c r="G7" s="222"/>
      <c r="H7" s="222"/>
      <c r="I7" s="222"/>
      <c r="J7" s="223"/>
    </row>
    <row r="8" spans="1:10" s="7" customFormat="1" ht="42.75" customHeight="1" thickBot="1" x14ac:dyDescent="0.25">
      <c r="A8" s="225"/>
      <c r="B8" s="213"/>
      <c r="C8" s="103" t="s">
        <v>1</v>
      </c>
      <c r="D8" s="103" t="s">
        <v>2</v>
      </c>
      <c r="E8" s="105" t="s">
        <v>101</v>
      </c>
      <c r="F8" s="106" t="s">
        <v>104</v>
      </c>
      <c r="G8" s="106" t="s">
        <v>61</v>
      </c>
      <c r="H8" s="106" t="s">
        <v>61</v>
      </c>
      <c r="I8" s="106" t="s">
        <v>61</v>
      </c>
      <c r="J8" s="107" t="s">
        <v>61</v>
      </c>
    </row>
    <row r="9" spans="1:10" s="8" customFormat="1" ht="24.75" thickBot="1" x14ac:dyDescent="0.25">
      <c r="A9" s="226"/>
      <c r="B9" s="62" t="s">
        <v>3</v>
      </c>
      <c r="C9" s="60" t="s">
        <v>5</v>
      </c>
      <c r="D9" s="60" t="s">
        <v>4</v>
      </c>
      <c r="E9" s="99" t="s">
        <v>41</v>
      </c>
      <c r="F9" s="99" t="s">
        <v>102</v>
      </c>
      <c r="G9" s="99" t="s">
        <v>62</v>
      </c>
      <c r="H9" s="99" t="s">
        <v>62</v>
      </c>
      <c r="I9" s="99" t="s">
        <v>62</v>
      </c>
      <c r="J9" s="100" t="s">
        <v>62</v>
      </c>
    </row>
    <row r="10" spans="1:10" s="8" customFormat="1" thickBot="1" x14ac:dyDescent="0.25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x14ac:dyDescent="0.25">
      <c r="A11" s="42">
        <v>1</v>
      </c>
      <c r="B11" s="143" t="s">
        <v>85</v>
      </c>
      <c r="C11" s="148">
        <v>286</v>
      </c>
      <c r="D11" s="148">
        <v>533492</v>
      </c>
      <c r="E11" s="155">
        <v>5</v>
      </c>
      <c r="F11" s="139">
        <v>49</v>
      </c>
      <c r="G11" s="139"/>
      <c r="H11" s="130"/>
      <c r="I11" s="130"/>
      <c r="J11" s="131"/>
    </row>
    <row r="12" spans="1:10" x14ac:dyDescent="0.25">
      <c r="A12" s="43">
        <v>2</v>
      </c>
      <c r="B12" s="137" t="s">
        <v>86</v>
      </c>
      <c r="C12" s="149">
        <v>570</v>
      </c>
      <c r="D12" s="149">
        <v>1252615</v>
      </c>
      <c r="E12" s="146">
        <v>5</v>
      </c>
      <c r="F12" s="18">
        <v>40</v>
      </c>
      <c r="G12" s="18"/>
      <c r="H12" s="133"/>
      <c r="I12" s="133"/>
      <c r="J12" s="134"/>
    </row>
    <row r="13" spans="1:10" ht="21.75" customHeight="1" x14ac:dyDescent="0.25">
      <c r="A13" s="43">
        <v>3</v>
      </c>
      <c r="B13" s="137" t="s">
        <v>87</v>
      </c>
      <c r="C13" s="149">
        <v>550</v>
      </c>
      <c r="D13" s="149">
        <v>744736</v>
      </c>
      <c r="E13" s="146">
        <v>4</v>
      </c>
      <c r="F13" s="18">
        <v>22</v>
      </c>
      <c r="G13" s="18"/>
      <c r="H13" s="133"/>
      <c r="I13" s="133"/>
      <c r="J13" s="134"/>
    </row>
    <row r="14" spans="1:10" x14ac:dyDescent="0.25">
      <c r="A14" s="43">
        <v>4</v>
      </c>
      <c r="B14" s="137" t="s">
        <v>88</v>
      </c>
      <c r="C14" s="149">
        <v>684</v>
      </c>
      <c r="D14" s="149">
        <v>1009151</v>
      </c>
      <c r="E14" s="146">
        <v>5</v>
      </c>
      <c r="F14" s="18">
        <v>24</v>
      </c>
      <c r="G14" s="18"/>
      <c r="H14" s="133"/>
      <c r="I14" s="133"/>
      <c r="J14" s="134"/>
    </row>
    <row r="15" spans="1:10" x14ac:dyDescent="0.25">
      <c r="A15" s="43">
        <v>5</v>
      </c>
      <c r="B15" s="137" t="s">
        <v>89</v>
      </c>
      <c r="C15" s="149">
        <v>298</v>
      </c>
      <c r="D15" s="149">
        <v>938651</v>
      </c>
      <c r="E15" s="146">
        <v>4</v>
      </c>
      <c r="F15" s="18">
        <v>67</v>
      </c>
      <c r="G15" s="18"/>
      <c r="H15" s="133"/>
      <c r="I15" s="133"/>
      <c r="J15" s="134"/>
    </row>
    <row r="16" spans="1:10" x14ac:dyDescent="0.25">
      <c r="A16" s="43">
        <v>6</v>
      </c>
      <c r="B16" s="137" t="s">
        <v>90</v>
      </c>
      <c r="C16" s="149">
        <v>355</v>
      </c>
      <c r="D16" s="149">
        <v>778053</v>
      </c>
      <c r="E16" s="146">
        <v>5</v>
      </c>
      <c r="F16" s="18">
        <v>66</v>
      </c>
      <c r="G16" s="18"/>
      <c r="H16" s="133"/>
      <c r="I16" s="133"/>
      <c r="J16" s="134"/>
    </row>
    <row r="17" spans="1:10" x14ac:dyDescent="0.25">
      <c r="A17" s="43">
        <v>7</v>
      </c>
      <c r="B17" s="137" t="s">
        <v>91</v>
      </c>
      <c r="C17" s="149">
        <v>644</v>
      </c>
      <c r="D17" s="149">
        <v>1199716</v>
      </c>
      <c r="E17" s="146">
        <v>4</v>
      </c>
      <c r="F17" s="18">
        <v>52</v>
      </c>
      <c r="G17" s="18"/>
      <c r="H17" s="133"/>
      <c r="I17" s="133"/>
      <c r="J17" s="134"/>
    </row>
    <row r="18" spans="1:10" ht="20.25" customHeight="1" x14ac:dyDescent="0.25">
      <c r="A18" s="43">
        <v>8</v>
      </c>
      <c r="B18" s="138" t="s">
        <v>92</v>
      </c>
      <c r="C18" s="150">
        <v>396</v>
      </c>
      <c r="D18" s="150">
        <v>657228</v>
      </c>
      <c r="E18" s="146">
        <v>3</v>
      </c>
      <c r="F18" s="18">
        <v>24</v>
      </c>
      <c r="G18" s="18"/>
      <c r="H18" s="133"/>
      <c r="I18" s="133"/>
      <c r="J18" s="134"/>
    </row>
    <row r="19" spans="1:10" x14ac:dyDescent="0.25">
      <c r="A19" s="43">
        <v>9</v>
      </c>
      <c r="B19" s="138" t="s">
        <v>93</v>
      </c>
      <c r="C19" s="151">
        <v>771</v>
      </c>
      <c r="D19" s="151">
        <v>1123890</v>
      </c>
      <c r="E19" s="146">
        <v>8</v>
      </c>
      <c r="F19" s="18">
        <v>72</v>
      </c>
      <c r="G19" s="18"/>
      <c r="H19" s="133"/>
      <c r="I19" s="133"/>
      <c r="J19" s="134"/>
    </row>
    <row r="20" spans="1:10" x14ac:dyDescent="0.25">
      <c r="A20" s="43">
        <v>10</v>
      </c>
      <c r="B20" s="138" t="s">
        <v>94</v>
      </c>
      <c r="C20" s="152">
        <v>361</v>
      </c>
      <c r="D20" s="152">
        <v>647294</v>
      </c>
      <c r="E20" s="147">
        <v>5</v>
      </c>
      <c r="F20" s="19">
        <v>17</v>
      </c>
      <c r="G20" s="19"/>
      <c r="H20" s="133"/>
      <c r="I20" s="133"/>
      <c r="J20" s="134"/>
    </row>
    <row r="21" spans="1:10" x14ac:dyDescent="0.25">
      <c r="A21" s="43">
        <v>11</v>
      </c>
      <c r="B21" s="144" t="s">
        <v>95</v>
      </c>
      <c r="C21" s="153">
        <v>337</v>
      </c>
      <c r="D21" s="153">
        <v>514349</v>
      </c>
      <c r="E21" s="146">
        <v>2</v>
      </c>
      <c r="F21" s="18">
        <v>35</v>
      </c>
      <c r="G21" s="18"/>
      <c r="H21" s="133"/>
      <c r="I21" s="133"/>
      <c r="J21" s="134"/>
    </row>
    <row r="22" spans="1:10" x14ac:dyDescent="0.25">
      <c r="A22" s="43">
        <v>12</v>
      </c>
      <c r="B22" s="144" t="s">
        <v>96</v>
      </c>
      <c r="C22" s="153">
        <v>769</v>
      </c>
      <c r="D22" s="153">
        <v>1113726</v>
      </c>
      <c r="E22" s="146">
        <v>7</v>
      </c>
      <c r="F22" s="18">
        <v>24</v>
      </c>
      <c r="G22" s="18"/>
      <c r="H22" s="133"/>
      <c r="I22" s="133"/>
      <c r="J22" s="134"/>
    </row>
    <row r="23" spans="1:10" x14ac:dyDescent="0.25">
      <c r="A23" s="43">
        <v>13</v>
      </c>
      <c r="B23" s="144" t="s">
        <v>97</v>
      </c>
      <c r="C23" s="153">
        <v>276</v>
      </c>
      <c r="D23" s="153">
        <v>509509</v>
      </c>
      <c r="E23" s="146">
        <v>3</v>
      </c>
      <c r="F23" s="18">
        <v>29</v>
      </c>
      <c r="G23" s="18"/>
      <c r="H23" s="133"/>
      <c r="I23" s="133"/>
      <c r="J23" s="134"/>
    </row>
    <row r="24" spans="1:10" x14ac:dyDescent="0.2">
      <c r="A24" s="43">
        <v>14</v>
      </c>
      <c r="B24" s="145" t="s">
        <v>98</v>
      </c>
      <c r="C24" s="154">
        <v>484</v>
      </c>
      <c r="D24" s="153">
        <v>1042393</v>
      </c>
      <c r="E24" s="156">
        <v>4</v>
      </c>
      <c r="F24" s="132">
        <v>41</v>
      </c>
      <c r="G24" s="132"/>
      <c r="H24" s="133"/>
      <c r="I24" s="133"/>
      <c r="J24" s="134"/>
    </row>
    <row r="25" spans="1:10" x14ac:dyDescent="0.2">
      <c r="A25" s="43">
        <v>15</v>
      </c>
      <c r="B25" s="145" t="s">
        <v>99</v>
      </c>
      <c r="C25" s="154">
        <v>764</v>
      </c>
      <c r="D25" s="153">
        <v>823252</v>
      </c>
      <c r="E25" s="156">
        <v>6</v>
      </c>
      <c r="F25" s="132">
        <v>40</v>
      </c>
      <c r="G25" s="132"/>
      <c r="H25" s="133"/>
      <c r="I25" s="133"/>
      <c r="J25" s="134"/>
    </row>
    <row r="26" spans="1:10" ht="16.5" thickBot="1" x14ac:dyDescent="0.25">
      <c r="A26" s="43">
        <v>16</v>
      </c>
      <c r="B26" s="145" t="s">
        <v>84</v>
      </c>
      <c r="C26" s="154">
        <v>10241</v>
      </c>
      <c r="D26" s="153">
        <v>23419524</v>
      </c>
      <c r="E26" s="156">
        <v>1</v>
      </c>
      <c r="F26" s="132">
        <v>0</v>
      </c>
      <c r="G26" s="132"/>
      <c r="H26" s="133"/>
      <c r="I26" s="133"/>
      <c r="J26" s="134"/>
    </row>
    <row r="27" spans="1:10" ht="16.5" thickBot="1" x14ac:dyDescent="0.25">
      <c r="A27" s="21"/>
      <c r="B27" s="22" t="s">
        <v>6</v>
      </c>
      <c r="C27" s="23">
        <f>SUM(C11:C26)</f>
        <v>17786</v>
      </c>
      <c r="D27" s="23">
        <f>SUM(D11:D26)</f>
        <v>36307579</v>
      </c>
      <c r="E27" s="24">
        <f>SUM(E11:E26)</f>
        <v>71</v>
      </c>
      <c r="F27" s="24">
        <f>SUM(F11:F26)</f>
        <v>602</v>
      </c>
      <c r="G27" s="24"/>
      <c r="H27" s="44"/>
      <c r="I27" s="44"/>
      <c r="J27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0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7" zoomScale="110" zoomScaleNormal="110" workbookViewId="0">
      <selection activeCell="C7" sqref="C7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27" t="s">
        <v>54</v>
      </c>
      <c r="B2" s="227"/>
      <c r="C2" s="227"/>
      <c r="D2" s="227"/>
      <c r="E2" s="227"/>
      <c r="F2" s="227"/>
      <c r="G2" s="227"/>
    </row>
    <row r="3" spans="1:8" ht="16.5" thickBot="1" x14ac:dyDescent="0.25">
      <c r="B3" s="12"/>
    </row>
    <row r="4" spans="1:8" s="7" customFormat="1" ht="50.25" customHeight="1" thickBot="1" x14ac:dyDescent="0.25">
      <c r="A4" s="228" t="s">
        <v>0</v>
      </c>
      <c r="B4" s="228" t="s">
        <v>52</v>
      </c>
      <c r="C4" s="93" t="s">
        <v>100</v>
      </c>
      <c r="D4" s="93" t="s">
        <v>103</v>
      </c>
      <c r="E4" s="93" t="s">
        <v>65</v>
      </c>
      <c r="F4" s="95" t="s">
        <v>65</v>
      </c>
      <c r="G4" s="230" t="s">
        <v>55</v>
      </c>
    </row>
    <row r="5" spans="1:8" s="13" customFormat="1" ht="45.75" customHeight="1" thickBot="1" x14ac:dyDescent="0.25">
      <c r="A5" s="229"/>
      <c r="B5" s="229"/>
      <c r="C5" s="94" t="s">
        <v>105</v>
      </c>
      <c r="D5" s="94" t="s">
        <v>105</v>
      </c>
      <c r="E5" s="94" t="s">
        <v>66</v>
      </c>
      <c r="F5" s="96" t="s">
        <v>66</v>
      </c>
      <c r="G5" s="231"/>
    </row>
    <row r="6" spans="1:8" s="14" customFormat="1" thickBot="1" x14ac:dyDescent="0.25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7">
        <f t="shared" si="0"/>
        <v>6</v>
      </c>
      <c r="G6" s="98">
        <f>F6+1</f>
        <v>7</v>
      </c>
    </row>
    <row r="7" spans="1:8" ht="16.5" thickBot="1" x14ac:dyDescent="0.3">
      <c r="A7" s="160">
        <v>1</v>
      </c>
      <c r="B7" s="162" t="s">
        <v>85</v>
      </c>
      <c r="C7" s="163">
        <f>1+'Исходные данные'!E11/('Исходные данные'!E27/16)</f>
        <v>2.126760563380282</v>
      </c>
      <c r="D7" s="163">
        <f>1+'Исходные данные'!F11/('Исходные данные'!F27/16)</f>
        <v>2.3023255813953489</v>
      </c>
      <c r="E7" s="164"/>
      <c r="F7" s="165"/>
      <c r="G7" s="161">
        <f>C7+D7</f>
        <v>4.4290861447756313</v>
      </c>
      <c r="H7" s="20"/>
    </row>
    <row r="8" spans="1:8" s="15" customFormat="1" ht="16.5" thickBot="1" x14ac:dyDescent="0.3">
      <c r="A8" s="91">
        <v>2</v>
      </c>
      <c r="B8" s="166" t="s">
        <v>86</v>
      </c>
      <c r="C8" s="163">
        <f>1+'Исходные данные'!E12/('Исходные данные'!E27/16)</f>
        <v>2.126760563380282</v>
      </c>
      <c r="D8" s="163">
        <f>1+'Исходные данные'!F12/('Исходные данные'!F27/16)</f>
        <v>2.0631229235880397</v>
      </c>
      <c r="E8" s="158"/>
      <c r="F8" s="167"/>
      <c r="G8" s="161">
        <f t="shared" ref="G8:G22" si="1">C8+D8</f>
        <v>4.1898834869683217</v>
      </c>
      <c r="H8" s="20"/>
    </row>
    <row r="9" spans="1:8" s="15" customFormat="1" ht="30.75" thickBot="1" x14ac:dyDescent="0.3">
      <c r="A9" s="92">
        <v>3</v>
      </c>
      <c r="B9" s="166" t="s">
        <v>87</v>
      </c>
      <c r="C9" s="163">
        <f>1+'Исходные данные'!E13/('Исходные данные'!E27/16)</f>
        <v>1.9014084507042255</v>
      </c>
      <c r="D9" s="163">
        <f>1+'Исходные данные'!F13/('Исходные данные'!F27/16)</f>
        <v>1.584717607973422</v>
      </c>
      <c r="E9" s="158"/>
      <c r="F9" s="167"/>
      <c r="G9" s="161">
        <f t="shared" si="1"/>
        <v>3.4861260586776472</v>
      </c>
      <c r="H9" s="20"/>
    </row>
    <row r="10" spans="1:8" s="15" customFormat="1" ht="16.5" thickBot="1" x14ac:dyDescent="0.3">
      <c r="A10" s="91">
        <v>4</v>
      </c>
      <c r="B10" s="166" t="s">
        <v>88</v>
      </c>
      <c r="C10" s="163">
        <f>1+'Исходные данные'!E14/('Исходные данные'!E27/16)</f>
        <v>2.126760563380282</v>
      </c>
      <c r="D10" s="163">
        <f>1+'Исходные данные'!F14/('Исходные данные'!F27/16)</f>
        <v>1.6378737541528239</v>
      </c>
      <c r="E10" s="158"/>
      <c r="F10" s="167"/>
      <c r="G10" s="161">
        <f t="shared" si="1"/>
        <v>3.7646343175331056</v>
      </c>
      <c r="H10" s="20"/>
    </row>
    <row r="11" spans="1:8" s="15" customFormat="1" ht="16.5" thickBot="1" x14ac:dyDescent="0.3">
      <c r="A11" s="92">
        <v>5</v>
      </c>
      <c r="B11" s="166" t="s">
        <v>89</v>
      </c>
      <c r="C11" s="163">
        <f>1+'Исходные данные'!E15/('Исходные данные'!E27/16)</f>
        <v>1.9014084507042255</v>
      </c>
      <c r="D11" s="163">
        <f>1+'Исходные данные'!F15/('Исходные данные'!F27/16)</f>
        <v>2.7807308970099669</v>
      </c>
      <c r="E11" s="158"/>
      <c r="F11" s="167"/>
      <c r="G11" s="161">
        <f t="shared" si="1"/>
        <v>4.6821393477141928</v>
      </c>
      <c r="H11" s="20"/>
    </row>
    <row r="12" spans="1:8" s="15" customFormat="1" ht="16.5" thickBot="1" x14ac:dyDescent="0.3">
      <c r="A12" s="91">
        <v>6</v>
      </c>
      <c r="B12" s="166" t="s">
        <v>90</v>
      </c>
      <c r="C12" s="163">
        <f>1+'Исходные данные'!E16/('Исходные данные'!E27/16)</f>
        <v>2.126760563380282</v>
      </c>
      <c r="D12" s="163">
        <f>1+'Исходные данные'!F16/('Исходные данные'!F27/16)</f>
        <v>2.7541528239202657</v>
      </c>
      <c r="E12" s="158"/>
      <c r="F12" s="167"/>
      <c r="G12" s="161">
        <f t="shared" si="1"/>
        <v>4.8809133873005477</v>
      </c>
      <c r="H12" s="20"/>
    </row>
    <row r="13" spans="1:8" s="15" customFormat="1" ht="16.5" thickBot="1" x14ac:dyDescent="0.3">
      <c r="A13" s="92">
        <v>7</v>
      </c>
      <c r="B13" s="166" t="s">
        <v>91</v>
      </c>
      <c r="C13" s="163">
        <f>1+'Исходные данные'!E17/('Исходные данные'!E27/16)</f>
        <v>1.9014084507042255</v>
      </c>
      <c r="D13" s="163">
        <f>1+'Исходные данные'!F17/('Исходные данные'!F27/16)</f>
        <v>2.382059800664452</v>
      </c>
      <c r="E13" s="158"/>
      <c r="F13" s="167"/>
      <c r="G13" s="161">
        <f t="shared" si="1"/>
        <v>4.2834682513686779</v>
      </c>
      <c r="H13" s="20"/>
    </row>
    <row r="14" spans="1:8" s="15" customFormat="1" ht="30.75" thickBot="1" x14ac:dyDescent="0.3">
      <c r="A14" s="91">
        <v>8</v>
      </c>
      <c r="B14" s="166" t="s">
        <v>92</v>
      </c>
      <c r="C14" s="163">
        <f>1+'Исходные данные'!E18/('Исходные данные'!E27/16)</f>
        <v>1.676056338028169</v>
      </c>
      <c r="D14" s="163">
        <f>1+'Исходные данные'!F18/('Исходные данные'!F27/16)</f>
        <v>1.6378737541528239</v>
      </c>
      <c r="E14" s="158"/>
      <c r="F14" s="167"/>
      <c r="G14" s="161">
        <f t="shared" si="1"/>
        <v>3.3139300921809927</v>
      </c>
      <c r="H14" s="20"/>
    </row>
    <row r="15" spans="1:8" s="15" customFormat="1" ht="16.5" thickBot="1" x14ac:dyDescent="0.3">
      <c r="A15" s="92">
        <v>9</v>
      </c>
      <c r="B15" s="166" t="s">
        <v>93</v>
      </c>
      <c r="C15" s="163">
        <f>1+'Исходные данные'!E19/('Исходные данные'!E27/16)</f>
        <v>2.802816901408451</v>
      </c>
      <c r="D15" s="163">
        <f>1+'Исходные данные'!F19/('Исходные данные'!F27/16)</f>
        <v>2.9136212624584719</v>
      </c>
      <c r="E15" s="157"/>
      <c r="F15" s="167"/>
      <c r="G15" s="161">
        <f t="shared" si="1"/>
        <v>5.7164381638669228</v>
      </c>
      <c r="H15" s="20"/>
    </row>
    <row r="16" spans="1:8" s="15" customFormat="1" ht="16.5" thickBot="1" x14ac:dyDescent="0.3">
      <c r="A16" s="91">
        <v>10</v>
      </c>
      <c r="B16" s="166" t="s">
        <v>94</v>
      </c>
      <c r="C16" s="163">
        <f>1+'Исходные данные'!E20/('Исходные данные'!E27/16)</f>
        <v>2.126760563380282</v>
      </c>
      <c r="D16" s="163">
        <f>1+'Исходные данные'!F20/('Исходные данные'!F27/16)</f>
        <v>1.451827242524917</v>
      </c>
      <c r="E16" s="158"/>
      <c r="F16" s="167"/>
      <c r="G16" s="161">
        <f t="shared" si="1"/>
        <v>3.5785878059051992</v>
      </c>
      <c r="H16" s="20"/>
    </row>
    <row r="17" spans="1:8" s="15" customFormat="1" ht="16.5" thickBot="1" x14ac:dyDescent="0.3">
      <c r="A17" s="92">
        <v>11</v>
      </c>
      <c r="B17" s="166" t="s">
        <v>95</v>
      </c>
      <c r="C17" s="163">
        <f>1+'Исходные данные'!E21/('Исходные данные'!E27/16)</f>
        <v>1.4507042253521127</v>
      </c>
      <c r="D17" s="163">
        <f>1+'Исходные данные'!F21/('Исходные данные'!F27/16)</f>
        <v>1.9302325581395348</v>
      </c>
      <c r="E17" s="158"/>
      <c r="F17" s="167"/>
      <c r="G17" s="161">
        <f t="shared" si="1"/>
        <v>3.3809367834916477</v>
      </c>
      <c r="H17" s="20"/>
    </row>
    <row r="18" spans="1:8" ht="16.5" thickBot="1" x14ac:dyDescent="0.3">
      <c r="A18" s="91">
        <v>12</v>
      </c>
      <c r="B18" s="166" t="s">
        <v>96</v>
      </c>
      <c r="C18" s="163">
        <f>1+'Исходные данные'!E22/('Исходные данные'!E27/16)</f>
        <v>2.577464788732394</v>
      </c>
      <c r="D18" s="163">
        <f>1+'Исходные данные'!F22/('Исходные данные'!F27/16)</f>
        <v>1.6378737541528239</v>
      </c>
      <c r="E18" s="157"/>
      <c r="F18" s="167"/>
      <c r="G18" s="161">
        <f t="shared" si="1"/>
        <v>4.2153385428852177</v>
      </c>
    </row>
    <row r="19" spans="1:8" ht="16.5" thickBot="1" x14ac:dyDescent="0.3">
      <c r="A19" s="92">
        <v>13</v>
      </c>
      <c r="B19" s="168" t="s">
        <v>97</v>
      </c>
      <c r="C19" s="163">
        <f>1+'Исходные данные'!E23/('Исходные данные'!E27/16)</f>
        <v>1.676056338028169</v>
      </c>
      <c r="D19" s="163">
        <f>1+'Исходные данные'!F23/('Исходные данные'!F27/16)</f>
        <v>1.7707641196013291</v>
      </c>
      <c r="E19" s="158"/>
      <c r="F19" s="169"/>
      <c r="G19" s="161">
        <f t="shared" si="1"/>
        <v>3.4468204576294981</v>
      </c>
    </row>
    <row r="20" spans="1:8" ht="16.5" thickBot="1" x14ac:dyDescent="0.25">
      <c r="A20" s="91">
        <v>14</v>
      </c>
      <c r="B20" s="168" t="s">
        <v>98</v>
      </c>
      <c r="C20" s="163">
        <f>1+'Исходные данные'!E24/('Исходные данные'!E27/16)</f>
        <v>1.9014084507042255</v>
      </c>
      <c r="D20" s="163">
        <f>1+'Исходные данные'!F24/('Исходные данные'!F27/16)</f>
        <v>2.0897009966777409</v>
      </c>
      <c r="E20" s="159"/>
      <c r="F20" s="169"/>
      <c r="G20" s="161">
        <f t="shared" si="1"/>
        <v>3.9911094473819664</v>
      </c>
    </row>
    <row r="21" spans="1:8" ht="16.5" thickBot="1" x14ac:dyDescent="0.25">
      <c r="A21" s="92">
        <v>15</v>
      </c>
      <c r="B21" s="168" t="s">
        <v>99</v>
      </c>
      <c r="C21" s="163">
        <f>1+'Исходные данные'!E25/('Исходные данные'!E27/16)</f>
        <v>2.352112676056338</v>
      </c>
      <c r="D21" s="163">
        <f>1+'Исходные данные'!F25/('Исходные данные'!F27/16)</f>
        <v>2.0631229235880397</v>
      </c>
      <c r="E21" s="159"/>
      <c r="F21" s="169"/>
      <c r="G21" s="161">
        <f t="shared" si="1"/>
        <v>4.4152355996443777</v>
      </c>
    </row>
    <row r="22" spans="1:8" x14ac:dyDescent="0.2">
      <c r="A22" s="91">
        <v>16</v>
      </c>
      <c r="B22" s="168" t="s">
        <v>84</v>
      </c>
      <c r="C22" s="163">
        <f>1+'Исходные данные'!E26/('Исходные данные'!E27/16)</f>
        <v>1.2253521126760563</v>
      </c>
      <c r="D22" s="163">
        <f>1+'Исходные данные'!F26/('Исходные данные'!F27/16)</f>
        <v>1</v>
      </c>
      <c r="E22" s="159"/>
      <c r="F22" s="169"/>
      <c r="G22" s="161">
        <f t="shared" si="1"/>
        <v>2.225352112676056</v>
      </c>
    </row>
    <row r="24" spans="1:8" ht="116.25" customHeight="1" x14ac:dyDescent="0.2">
      <c r="A24" s="232" t="s">
        <v>76</v>
      </c>
      <c r="B24" s="232"/>
      <c r="C24" s="232"/>
      <c r="D24" s="232"/>
      <c r="E24" s="232"/>
      <c r="F24" s="232"/>
      <c r="G24" s="232"/>
    </row>
  </sheetData>
  <sheetProtection selectLockedCells="1" selectUnlockedCells="1"/>
  <mergeCells count="5">
    <mergeCell ref="A2:G2"/>
    <mergeCell ref="A4:A5"/>
    <mergeCell ref="B4:B5"/>
    <mergeCell ref="G4:G5"/>
    <mergeCell ref="A24:G24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0"/>
  <sheetViews>
    <sheetView tabSelected="1" zoomScale="60" zoomScaleNormal="60" workbookViewId="0">
      <pane xSplit="24225" topLeftCell="CW1"/>
      <selection activeCell="J6" sqref="J6"/>
      <selection pane="topRight" activeCell="AX37" sqref="AX37"/>
    </sheetView>
  </sheetViews>
  <sheetFormatPr defaultColWidth="15.28515625" defaultRowHeight="15.75" x14ac:dyDescent="0.2"/>
  <cols>
    <col min="1" max="1" width="55.1406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5.28515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7.85546875" style="16" customWidth="1"/>
    <col min="54" max="54" width="21.28515625" style="16" customWidth="1"/>
    <col min="55" max="55" width="20.5703125" style="16" customWidth="1"/>
    <col min="56" max="56" width="18.140625" style="16" customWidth="1"/>
    <col min="57" max="16384" width="15.28515625" style="16"/>
  </cols>
  <sheetData>
    <row r="1" spans="1:56" s="17" customFormat="1" ht="22.5" customHeight="1" x14ac:dyDescent="0.2">
      <c r="A1" s="136"/>
      <c r="B1" s="136" t="s">
        <v>108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56" s="5" customFormat="1" ht="16.5" thickBot="1" x14ac:dyDescent="0.25"/>
    <row r="3" spans="1:56" s="38" customFormat="1" ht="34.5" customHeight="1" thickBot="1" x14ac:dyDescent="0.25">
      <c r="A3" s="244" t="s">
        <v>7</v>
      </c>
      <c r="B3" s="247" t="s">
        <v>49</v>
      </c>
      <c r="C3" s="250" t="s">
        <v>9</v>
      </c>
      <c r="D3" s="251"/>
      <c r="E3" s="251"/>
      <c r="F3" s="252"/>
      <c r="G3" s="264" t="s">
        <v>50</v>
      </c>
      <c r="H3" s="265"/>
      <c r="I3" s="265"/>
      <c r="J3" s="266"/>
      <c r="K3" s="271" t="s">
        <v>73</v>
      </c>
      <c r="L3" s="73" t="s">
        <v>42</v>
      </c>
      <c r="M3" s="269" t="s">
        <v>70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33" t="s">
        <v>74</v>
      </c>
      <c r="BC3" s="241" t="s">
        <v>75</v>
      </c>
      <c r="BD3" s="236" t="s">
        <v>72</v>
      </c>
    </row>
    <row r="4" spans="1:56" s="28" customFormat="1" ht="29.25" customHeight="1" x14ac:dyDescent="0.2">
      <c r="A4" s="245"/>
      <c r="B4" s="248"/>
      <c r="C4" s="255" t="s">
        <v>10</v>
      </c>
      <c r="D4" s="256"/>
      <c r="E4" s="255" t="s">
        <v>11</v>
      </c>
      <c r="F4" s="256"/>
      <c r="G4" s="257" t="s">
        <v>107</v>
      </c>
      <c r="H4" s="239" t="s">
        <v>12</v>
      </c>
      <c r="I4" s="239" t="s">
        <v>55</v>
      </c>
      <c r="J4" s="267" t="s">
        <v>57</v>
      </c>
      <c r="K4" s="272"/>
      <c r="L4" s="262" t="s">
        <v>111</v>
      </c>
      <c r="M4" s="259" t="s">
        <v>13</v>
      </c>
      <c r="N4" s="260"/>
      <c r="O4" s="260"/>
      <c r="P4" s="260"/>
      <c r="Q4" s="261"/>
      <c r="R4" s="259" t="s">
        <v>14</v>
      </c>
      <c r="S4" s="260"/>
      <c r="T4" s="260"/>
      <c r="U4" s="260"/>
      <c r="V4" s="260"/>
      <c r="W4" s="261"/>
      <c r="X4" s="259" t="s">
        <v>15</v>
      </c>
      <c r="Y4" s="260"/>
      <c r="Z4" s="260"/>
      <c r="AA4" s="260"/>
      <c r="AB4" s="260"/>
      <c r="AC4" s="261"/>
      <c r="AD4" s="259" t="s">
        <v>16</v>
      </c>
      <c r="AE4" s="260"/>
      <c r="AF4" s="260"/>
      <c r="AG4" s="260"/>
      <c r="AH4" s="260"/>
      <c r="AI4" s="261"/>
      <c r="AJ4" s="259" t="s">
        <v>17</v>
      </c>
      <c r="AK4" s="260"/>
      <c r="AL4" s="260"/>
      <c r="AM4" s="260"/>
      <c r="AN4" s="260"/>
      <c r="AO4" s="261"/>
      <c r="AP4" s="259" t="s">
        <v>18</v>
      </c>
      <c r="AQ4" s="260"/>
      <c r="AR4" s="260"/>
      <c r="AS4" s="260"/>
      <c r="AT4" s="260"/>
      <c r="AU4" s="261"/>
      <c r="AV4" s="259" t="s">
        <v>19</v>
      </c>
      <c r="AW4" s="260"/>
      <c r="AX4" s="260"/>
      <c r="AY4" s="260"/>
      <c r="AZ4" s="260"/>
      <c r="BA4" s="261"/>
      <c r="BB4" s="234"/>
      <c r="BC4" s="242"/>
      <c r="BD4" s="237"/>
    </row>
    <row r="5" spans="1:56" s="28" customFormat="1" ht="246" customHeight="1" thickBot="1" x14ac:dyDescent="0.25">
      <c r="A5" s="245"/>
      <c r="B5" s="249"/>
      <c r="C5" s="253" t="s">
        <v>60</v>
      </c>
      <c r="D5" s="254"/>
      <c r="E5" s="253" t="s">
        <v>68</v>
      </c>
      <c r="F5" s="254"/>
      <c r="G5" s="258"/>
      <c r="H5" s="240"/>
      <c r="I5" s="240"/>
      <c r="J5" s="268"/>
      <c r="K5" s="273"/>
      <c r="L5" s="263"/>
      <c r="M5" s="70" t="s">
        <v>48</v>
      </c>
      <c r="N5" s="142" t="s">
        <v>77</v>
      </c>
      <c r="O5" s="71" t="s">
        <v>56</v>
      </c>
      <c r="P5" s="71" t="s">
        <v>71</v>
      </c>
      <c r="Q5" s="72" t="s">
        <v>20</v>
      </c>
      <c r="R5" s="70" t="s">
        <v>21</v>
      </c>
      <c r="S5" s="142" t="s">
        <v>78</v>
      </c>
      <c r="T5" s="71" t="s">
        <v>48</v>
      </c>
      <c r="U5" s="71" t="s">
        <v>56</v>
      </c>
      <c r="V5" s="71" t="s">
        <v>71</v>
      </c>
      <c r="W5" s="72" t="s">
        <v>22</v>
      </c>
      <c r="X5" s="70" t="s">
        <v>23</v>
      </c>
      <c r="Y5" s="142" t="s">
        <v>79</v>
      </c>
      <c r="Z5" s="71" t="s">
        <v>48</v>
      </c>
      <c r="AA5" s="71" t="s">
        <v>56</v>
      </c>
      <c r="AB5" s="71" t="s">
        <v>71</v>
      </c>
      <c r="AC5" s="72" t="s">
        <v>24</v>
      </c>
      <c r="AD5" s="70" t="s">
        <v>25</v>
      </c>
      <c r="AE5" s="142" t="s">
        <v>80</v>
      </c>
      <c r="AF5" s="71" t="s">
        <v>48</v>
      </c>
      <c r="AG5" s="71" t="s">
        <v>56</v>
      </c>
      <c r="AH5" s="71" t="s">
        <v>71</v>
      </c>
      <c r="AI5" s="72" t="s">
        <v>26</v>
      </c>
      <c r="AJ5" s="70" t="s">
        <v>27</v>
      </c>
      <c r="AK5" s="142" t="s">
        <v>81</v>
      </c>
      <c r="AL5" s="71" t="s">
        <v>48</v>
      </c>
      <c r="AM5" s="71" t="s">
        <v>56</v>
      </c>
      <c r="AN5" s="71" t="s">
        <v>71</v>
      </c>
      <c r="AO5" s="72" t="s">
        <v>28</v>
      </c>
      <c r="AP5" s="70" t="s">
        <v>29</v>
      </c>
      <c r="AQ5" s="142" t="s">
        <v>82</v>
      </c>
      <c r="AR5" s="71" t="s">
        <v>48</v>
      </c>
      <c r="AS5" s="71" t="s">
        <v>56</v>
      </c>
      <c r="AT5" s="71" t="s">
        <v>71</v>
      </c>
      <c r="AU5" s="72" t="s">
        <v>30</v>
      </c>
      <c r="AV5" s="70" t="s">
        <v>31</v>
      </c>
      <c r="AW5" s="142" t="s">
        <v>83</v>
      </c>
      <c r="AX5" s="71" t="s">
        <v>48</v>
      </c>
      <c r="AY5" s="71" t="s">
        <v>56</v>
      </c>
      <c r="AZ5" s="71" t="s">
        <v>71</v>
      </c>
      <c r="BA5" s="72" t="s">
        <v>32</v>
      </c>
      <c r="BB5" s="235"/>
      <c r="BC5" s="243"/>
      <c r="BD5" s="238"/>
    </row>
    <row r="6" spans="1:56" s="28" customFormat="1" ht="19.5" thickBot="1" x14ac:dyDescent="0.25">
      <c r="A6" s="246"/>
      <c r="B6" s="113" t="s">
        <v>33</v>
      </c>
      <c r="C6" s="75" t="s">
        <v>34</v>
      </c>
      <c r="D6" s="76" t="s">
        <v>35</v>
      </c>
      <c r="E6" s="75" t="s">
        <v>36</v>
      </c>
      <c r="F6" s="76" t="s">
        <v>37</v>
      </c>
      <c r="G6" s="69" t="s">
        <v>1</v>
      </c>
      <c r="H6" s="68" t="s">
        <v>2</v>
      </c>
      <c r="I6" s="58" t="s">
        <v>64</v>
      </c>
      <c r="J6" s="120" t="s">
        <v>59</v>
      </c>
      <c r="K6" s="125" t="s">
        <v>38</v>
      </c>
      <c r="L6" s="74" t="s">
        <v>39</v>
      </c>
      <c r="M6" s="75" t="s">
        <v>38</v>
      </c>
      <c r="N6" s="68" t="s">
        <v>46</v>
      </c>
      <c r="O6" s="68" t="s">
        <v>45</v>
      </c>
      <c r="P6" s="68" t="s">
        <v>44</v>
      </c>
      <c r="Q6" s="76" t="s">
        <v>43</v>
      </c>
      <c r="R6" s="75" t="s">
        <v>37</v>
      </c>
      <c r="S6" s="68" t="s">
        <v>46</v>
      </c>
      <c r="T6" s="68" t="s">
        <v>38</v>
      </c>
      <c r="U6" s="68" t="s">
        <v>45</v>
      </c>
      <c r="V6" s="68" t="s">
        <v>44</v>
      </c>
      <c r="W6" s="76" t="s">
        <v>43</v>
      </c>
      <c r="X6" s="75" t="s">
        <v>37</v>
      </c>
      <c r="Y6" s="68" t="s">
        <v>46</v>
      </c>
      <c r="Z6" s="68" t="s">
        <v>38</v>
      </c>
      <c r="AA6" s="68" t="s">
        <v>45</v>
      </c>
      <c r="AB6" s="68" t="s">
        <v>44</v>
      </c>
      <c r="AC6" s="76" t="s">
        <v>43</v>
      </c>
      <c r="AD6" s="75" t="s">
        <v>37</v>
      </c>
      <c r="AE6" s="68" t="s">
        <v>46</v>
      </c>
      <c r="AF6" s="68" t="s">
        <v>38</v>
      </c>
      <c r="AG6" s="68" t="s">
        <v>45</v>
      </c>
      <c r="AH6" s="68" t="s">
        <v>44</v>
      </c>
      <c r="AI6" s="76" t="s">
        <v>43</v>
      </c>
      <c r="AJ6" s="75" t="s">
        <v>37</v>
      </c>
      <c r="AK6" s="68" t="s">
        <v>46</v>
      </c>
      <c r="AL6" s="68" t="s">
        <v>38</v>
      </c>
      <c r="AM6" s="68" t="s">
        <v>45</v>
      </c>
      <c r="AN6" s="68" t="s">
        <v>44</v>
      </c>
      <c r="AO6" s="76" t="s">
        <v>43</v>
      </c>
      <c r="AP6" s="75" t="s">
        <v>37</v>
      </c>
      <c r="AQ6" s="68" t="s">
        <v>46</v>
      </c>
      <c r="AR6" s="68" t="s">
        <v>38</v>
      </c>
      <c r="AS6" s="68" t="s">
        <v>45</v>
      </c>
      <c r="AT6" s="68" t="s">
        <v>44</v>
      </c>
      <c r="AU6" s="76" t="s">
        <v>43</v>
      </c>
      <c r="AV6" s="75" t="s">
        <v>37</v>
      </c>
      <c r="AW6" s="68" t="s">
        <v>46</v>
      </c>
      <c r="AX6" s="68" t="s">
        <v>38</v>
      </c>
      <c r="AY6" s="68" t="s">
        <v>45</v>
      </c>
      <c r="AZ6" s="68" t="s">
        <v>44</v>
      </c>
      <c r="BA6" s="76" t="s">
        <v>43</v>
      </c>
      <c r="BB6" s="201" t="s">
        <v>43</v>
      </c>
      <c r="BC6" s="199" t="s">
        <v>51</v>
      </c>
      <c r="BD6" s="86" t="s">
        <v>69</v>
      </c>
    </row>
    <row r="7" spans="1:56" s="29" customFormat="1" thickBot="1" x14ac:dyDescent="0.25">
      <c r="A7" s="110">
        <v>1</v>
      </c>
      <c r="B7" s="114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9">
        <f>F7+1</f>
        <v>7</v>
      </c>
      <c r="H7" s="65">
        <f t="shared" si="0"/>
        <v>8</v>
      </c>
      <c r="I7" s="65">
        <f t="shared" ref="I7:L7" si="1">H7+1</f>
        <v>9</v>
      </c>
      <c r="J7" s="121">
        <f>I7+1</f>
        <v>10</v>
      </c>
      <c r="K7" s="126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Z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4">
        <f t="shared" si="2"/>
        <v>48</v>
      </c>
      <c r="AW7" s="65">
        <f t="shared" si="2"/>
        <v>49</v>
      </c>
      <c r="AX7" s="65">
        <f>AW7+1</f>
        <v>50</v>
      </c>
      <c r="AY7" s="65">
        <f t="shared" si="2"/>
        <v>51</v>
      </c>
      <c r="AZ7" s="65">
        <f t="shared" si="2"/>
        <v>52</v>
      </c>
      <c r="BA7" s="67">
        <f t="shared" ref="BA7" si="3">AZ7+1</f>
        <v>53</v>
      </c>
      <c r="BB7" s="66">
        <f>BA7+1</f>
        <v>54</v>
      </c>
      <c r="BC7" s="200">
        <f>BB7+1</f>
        <v>55</v>
      </c>
      <c r="BD7" s="87">
        <f>BC7+1</f>
        <v>56</v>
      </c>
    </row>
    <row r="8" spans="1:56" s="30" customFormat="1" thickBot="1" x14ac:dyDescent="0.25">
      <c r="A8" s="111" t="s">
        <v>3</v>
      </c>
      <c r="B8" s="115" t="s">
        <v>4</v>
      </c>
      <c r="C8" s="59" t="s">
        <v>40</v>
      </c>
      <c r="D8" s="63" t="s">
        <v>4</v>
      </c>
      <c r="E8" s="59" t="s">
        <v>40</v>
      </c>
      <c r="F8" s="63" t="s">
        <v>4</v>
      </c>
      <c r="G8" s="62" t="s">
        <v>5</v>
      </c>
      <c r="H8" s="60" t="s">
        <v>4</v>
      </c>
      <c r="I8" s="60" t="s">
        <v>41</v>
      </c>
      <c r="J8" s="122" t="s">
        <v>58</v>
      </c>
      <c r="K8" s="127" t="s">
        <v>41</v>
      </c>
      <c r="L8" s="61" t="s">
        <v>4</v>
      </c>
      <c r="M8" s="59" t="s">
        <v>41</v>
      </c>
      <c r="N8" s="60" t="s">
        <v>41</v>
      </c>
      <c r="O8" s="60" t="s">
        <v>41</v>
      </c>
      <c r="P8" s="60" t="s">
        <v>4</v>
      </c>
      <c r="Q8" s="63" t="s">
        <v>4</v>
      </c>
      <c r="R8" s="59" t="s">
        <v>4</v>
      </c>
      <c r="S8" s="60" t="s">
        <v>41</v>
      </c>
      <c r="T8" s="60" t="s">
        <v>41</v>
      </c>
      <c r="U8" s="60" t="s">
        <v>41</v>
      </c>
      <c r="V8" s="60" t="s">
        <v>4</v>
      </c>
      <c r="W8" s="63" t="s">
        <v>4</v>
      </c>
      <c r="X8" s="59" t="s">
        <v>4</v>
      </c>
      <c r="Y8" s="60" t="s">
        <v>41</v>
      </c>
      <c r="Z8" s="60" t="s">
        <v>41</v>
      </c>
      <c r="AA8" s="60" t="s">
        <v>41</v>
      </c>
      <c r="AB8" s="60" t="s">
        <v>4</v>
      </c>
      <c r="AC8" s="63" t="s">
        <v>4</v>
      </c>
      <c r="AD8" s="59" t="s">
        <v>4</v>
      </c>
      <c r="AE8" s="60" t="s">
        <v>41</v>
      </c>
      <c r="AF8" s="60" t="s">
        <v>41</v>
      </c>
      <c r="AG8" s="60" t="s">
        <v>41</v>
      </c>
      <c r="AH8" s="60" t="s">
        <v>4</v>
      </c>
      <c r="AI8" s="63" t="s">
        <v>4</v>
      </c>
      <c r="AJ8" s="59" t="s">
        <v>4</v>
      </c>
      <c r="AK8" s="60" t="s">
        <v>41</v>
      </c>
      <c r="AL8" s="60" t="s">
        <v>41</v>
      </c>
      <c r="AM8" s="60" t="s">
        <v>41</v>
      </c>
      <c r="AN8" s="60" t="s">
        <v>4</v>
      </c>
      <c r="AO8" s="63" t="s">
        <v>4</v>
      </c>
      <c r="AP8" s="59" t="s">
        <v>4</v>
      </c>
      <c r="AQ8" s="60" t="s">
        <v>41</v>
      </c>
      <c r="AR8" s="60" t="s">
        <v>41</v>
      </c>
      <c r="AS8" s="60" t="s">
        <v>41</v>
      </c>
      <c r="AT8" s="60" t="s">
        <v>4</v>
      </c>
      <c r="AU8" s="63" t="s">
        <v>4</v>
      </c>
      <c r="AV8" s="59" t="s">
        <v>4</v>
      </c>
      <c r="AW8" s="60" t="s">
        <v>41</v>
      </c>
      <c r="AX8" s="60" t="s">
        <v>41</v>
      </c>
      <c r="AY8" s="60" t="s">
        <v>41</v>
      </c>
      <c r="AZ8" s="60" t="s">
        <v>4</v>
      </c>
      <c r="BA8" s="63" t="s">
        <v>4</v>
      </c>
      <c r="BB8" s="203" t="s">
        <v>4</v>
      </c>
      <c r="BC8" s="202" t="s">
        <v>4</v>
      </c>
      <c r="BD8" s="88" t="s">
        <v>41</v>
      </c>
    </row>
    <row r="9" spans="1:56" s="27" customFormat="1" ht="16.5" thickBot="1" x14ac:dyDescent="0.3">
      <c r="A9" s="182" t="s">
        <v>85</v>
      </c>
      <c r="B9" s="185" t="s">
        <v>8</v>
      </c>
      <c r="C9" s="185" t="s">
        <v>8</v>
      </c>
      <c r="D9" s="185" t="s">
        <v>8</v>
      </c>
      <c r="E9" s="185" t="s">
        <v>8</v>
      </c>
      <c r="F9" s="185" t="s">
        <v>8</v>
      </c>
      <c r="G9" s="116">
        <f>'Исходные данные'!C11</f>
        <v>286</v>
      </c>
      <c r="H9" s="53">
        <f>'Исходные данные'!D11</f>
        <v>533492</v>
      </c>
      <c r="I9" s="54">
        <f>'Расчет КРП'!G7</f>
        <v>4.4290861447756313</v>
      </c>
      <c r="J9" s="123" t="s">
        <v>8</v>
      </c>
      <c r="K9" s="188">
        <f t="shared" ref="K9:K24" si="4">((H9/G9)/($H$25/$G$25))/I9</f>
        <v>0.20631402312200278</v>
      </c>
      <c r="L9" s="189">
        <f t="shared" ref="L9:L24" si="5">$D$25*G9/$G$25</f>
        <v>184490.05537613854</v>
      </c>
      <c r="M9" s="193">
        <f t="shared" ref="M9:M24" si="6">(((H9+L9)/G9)/$J$25)/I9</f>
        <v>0.27766070789075703</v>
      </c>
      <c r="N9" s="194" t="s">
        <v>8</v>
      </c>
      <c r="O9" s="195">
        <f t="shared" ref="O9:O24" si="7">$N$25-M9</f>
        <v>8.0106564610506192E-2</v>
      </c>
      <c r="P9" s="205">
        <f t="shared" ref="P9:P24" si="8">IF(O9&gt;0,G9*I9*(($H$25+$L$25)/$G$25)*O9,0)</f>
        <v>272598.43758956145</v>
      </c>
      <c r="Q9" s="196">
        <f t="shared" ref="Q9:Q24" si="9">IF(($F$25-P$25)&gt;0,P9,$F$25*P9/P$25)</f>
        <v>272598.43758956145</v>
      </c>
      <c r="R9" s="190" t="s">
        <v>8</v>
      </c>
      <c r="S9" s="52" t="s">
        <v>8</v>
      </c>
      <c r="T9" s="56">
        <f t="shared" ref="T9:T24" si="10">(((H9+L9+Q9)/G9)/$J$25)/I9</f>
        <v>0.38308099602230278</v>
      </c>
      <c r="U9" s="55">
        <f t="shared" ref="U9:U24" si="11">S$25-T9</f>
        <v>4.9709695250424901E-2</v>
      </c>
      <c r="V9" s="57">
        <f t="shared" ref="V9:V24" si="12">IF(U9&gt;0,$G9*$I9*(($H$25+$L$25+$Q$25)/$G$25)*U9,0)</f>
        <v>194763.83138829021</v>
      </c>
      <c r="W9" s="83">
        <f t="shared" ref="W9:W24" si="13">IF((R$25-V$25)&gt;0,V9,R$25*V9/V$25)</f>
        <v>194763.83138829021</v>
      </c>
      <c r="X9" s="79" t="s">
        <v>8</v>
      </c>
      <c r="Y9" s="52" t="s">
        <v>8</v>
      </c>
      <c r="Z9" s="56">
        <f t="shared" ref="Z9:Z24" si="14">(((H9+L9+Q9+W9)/G9)/$J$25)/I9</f>
        <v>0.45840079390563288</v>
      </c>
      <c r="AA9" s="55">
        <f t="shared" ref="AA9:AA24" si="15">Y$25-Z9</f>
        <v>4.3894880113896917E-2</v>
      </c>
      <c r="AB9" s="57">
        <f t="shared" ref="AB9:AB24" si="16">IF(AA9&gt;0,$G9*$I9*(($H$25+$L$25+$Q$25+$W$25)/$G$25)*AA9,0)</f>
        <v>186209.1745445891</v>
      </c>
      <c r="AC9" s="83">
        <f t="shared" ref="AC9:AC24" si="17">IF((X$25-AB$25)&gt;0,AB9,X$25*AB9/AB$25)</f>
        <v>186209.1745445891</v>
      </c>
      <c r="AD9" s="79" t="s">
        <v>8</v>
      </c>
      <c r="AE9" s="52" t="s">
        <v>8</v>
      </c>
      <c r="AF9" s="56">
        <f t="shared" ref="AF9:AF24" si="18">(((H9+L9+Q9+W9+AC9)/G9)/$J$25)/I9</f>
        <v>0.53041230287394237</v>
      </c>
      <c r="AG9" s="55">
        <f t="shared" ref="AG9:AG24" si="19">AE$25-AF9</f>
        <v>3.3723644986529133E-2</v>
      </c>
      <c r="AH9" s="57">
        <f t="shared" ref="AH9:AH24" si="20">IF(AG9&gt;0,$G9*$I9*(($H$25+$L$25+$Q$25+$W$25+$AC$25)/$G$25)*AG9,0)</f>
        <v>154676.19516690564</v>
      </c>
      <c r="AI9" s="83">
        <f t="shared" ref="AI9:AI24" si="21">IF((AD$25-AH$25)&gt;0,AH9,AD$25*AH9/AH$25)</f>
        <v>154676.19516690564</v>
      </c>
      <c r="AJ9" s="79" t="s">
        <v>8</v>
      </c>
      <c r="AK9" s="52" t="s">
        <v>8</v>
      </c>
      <c r="AL9" s="56">
        <f t="shared" ref="AL9:AL24" si="22">(((H9+L9+Q9+W9+AC9+AI9)/G9)/$J$25)/I9</f>
        <v>0.59022926002810472</v>
      </c>
      <c r="AM9" s="55">
        <f t="shared" ref="AM9:AM24" si="23">AK$25-AL9</f>
        <v>2.7863201235223567E-2</v>
      </c>
      <c r="AN9" s="57">
        <f t="shared" ref="AN9:AN24" si="24">IF(AM9&gt;0,$G9*$I9*(($H$25+$L$25+$Q$25+$W$25+$AC$25+$AI$25)/$G$25)*AM9,0)</f>
        <v>135228.48234740298</v>
      </c>
      <c r="AO9" s="83">
        <f t="shared" ref="AO9:AO24" si="25">IF((AJ$25-AN$25)&gt;0,AN9,AJ$25*AN9/AN$25)</f>
        <v>135228.48234740298</v>
      </c>
      <c r="AP9" s="79" t="s">
        <v>8</v>
      </c>
      <c r="AQ9" s="52" t="s">
        <v>8</v>
      </c>
      <c r="AR9" s="56">
        <f t="shared" ref="AR9:AR24" si="26">(((H9+L9+Q9+W9+AC9+AI9+AO9)/G9)/$J$25)/I9</f>
        <v>0.64252532488713821</v>
      </c>
      <c r="AS9" s="55">
        <f t="shared" ref="AS9:AS24" si="27">AQ$25-AR9</f>
        <v>2.0747199589067788E-2</v>
      </c>
      <c r="AT9" s="57">
        <f t="shared" ref="AT9:AT24" si="28">IF(AS9&gt;0,$G9*$I9*(($H$25+$L$25+$Q$25+$W$25+$AC$25+$AI$25+$AO$25)/$G$25)*AS9,0)</f>
        <v>105839.72774862922</v>
      </c>
      <c r="AU9" s="83">
        <f t="shared" ref="AU9:AU24" si="29">IF((AP$25-AT$25)&gt;0,AT9,AP$25*AT9/AT$25)</f>
        <v>105839.72774862922</v>
      </c>
      <c r="AV9" s="79" t="s">
        <v>8</v>
      </c>
      <c r="AW9" s="52" t="s">
        <v>8</v>
      </c>
      <c r="AX9" s="56">
        <f t="shared" ref="AX9:AX24" si="30">(((H9+L9+Q9+W9+AC9+AI9+AO9+AU9)/G9)/$J$25)/I9</f>
        <v>0.68345606056444386</v>
      </c>
      <c r="AY9" s="55">
        <f t="shared" ref="AY9:AY24" si="31">AW$25-AX9</f>
        <v>1.8893327491187217E-2</v>
      </c>
      <c r="AZ9" s="57">
        <f t="shared" ref="AZ9:AZ24" si="32">IF(AY9&gt;0,$G9*$I9*(($H$25+$L$25+$Q$25+$W$25+$AC$25+$AI$25+$AO$25+$AU$25)/$G$25)*AY9,0)</f>
        <v>102025.36572874121</v>
      </c>
      <c r="BA9" s="83">
        <f t="shared" ref="BA9:BA24" si="33">IF((AV$25-AZ$25)&gt;0,AZ9,AV$25*AZ9/AZ$25)</f>
        <v>1028.529879925067</v>
      </c>
      <c r="BB9" s="206">
        <f>Q9+W9+AC9+AI9+AO9+AU9+BA9</f>
        <v>1050344.3786653036</v>
      </c>
      <c r="BC9" s="197">
        <f t="shared" ref="BC9:BC25" si="34">L9+BB9</f>
        <v>1234834.4340414421</v>
      </c>
      <c r="BD9" s="198">
        <f t="shared" ref="BD9:BD24" si="35">K9+BC9/($H$25/$G$25)/G9/I9</f>
        <v>0.68385381748943719</v>
      </c>
    </row>
    <row r="10" spans="1:56" s="27" customFormat="1" ht="16.5" thickBot="1" x14ac:dyDescent="0.3">
      <c r="A10" s="183" t="s">
        <v>86</v>
      </c>
      <c r="B10" s="186" t="s">
        <v>8</v>
      </c>
      <c r="C10" s="186" t="s">
        <v>8</v>
      </c>
      <c r="D10" s="186" t="s">
        <v>8</v>
      </c>
      <c r="E10" s="186" t="s">
        <v>8</v>
      </c>
      <c r="F10" s="186" t="s">
        <v>8</v>
      </c>
      <c r="G10" s="117">
        <f>'Исходные данные'!C12</f>
        <v>570</v>
      </c>
      <c r="H10" s="33">
        <f>'Исходные данные'!D12</f>
        <v>1252615</v>
      </c>
      <c r="I10" s="34">
        <f>'Расчет КРП'!G8</f>
        <v>4.1898834869683217</v>
      </c>
      <c r="J10" s="124" t="s">
        <v>8</v>
      </c>
      <c r="K10" s="128">
        <f t="shared" si="4"/>
        <v>0.25693413313530805</v>
      </c>
      <c r="L10" s="81">
        <f t="shared" si="5"/>
        <v>367689.97050489153</v>
      </c>
      <c r="M10" s="77">
        <f t="shared" si="6"/>
        <v>0.33235403776220568</v>
      </c>
      <c r="N10" s="32" t="s">
        <v>8</v>
      </c>
      <c r="O10" s="35">
        <f t="shared" si="7"/>
        <v>2.5413234739057544E-2</v>
      </c>
      <c r="P10" s="36">
        <f t="shared" si="8"/>
        <v>163046.63661824484</v>
      </c>
      <c r="Q10" s="84">
        <f t="shared" si="9"/>
        <v>163046.63661824484</v>
      </c>
      <c r="R10" s="191" t="s">
        <v>8</v>
      </c>
      <c r="S10" s="32" t="s">
        <v>8</v>
      </c>
      <c r="T10" s="37">
        <f t="shared" si="10"/>
        <v>0.36579787025673616</v>
      </c>
      <c r="U10" s="35">
        <f t="shared" si="11"/>
        <v>6.6992821015991522E-2</v>
      </c>
      <c r="V10" s="57">
        <f t="shared" si="12"/>
        <v>494871.12731251604</v>
      </c>
      <c r="W10" s="84">
        <f t="shared" si="13"/>
        <v>494871.12731251604</v>
      </c>
      <c r="X10" s="80" t="s">
        <v>8</v>
      </c>
      <c r="Y10" s="32" t="s">
        <v>8</v>
      </c>
      <c r="Z10" s="37">
        <f t="shared" si="14"/>
        <v>0.46730494474469447</v>
      </c>
      <c r="AA10" s="35">
        <f t="shared" si="15"/>
        <v>3.4990729274835319E-2</v>
      </c>
      <c r="AB10" s="57">
        <f t="shared" si="16"/>
        <v>279857.43107379222</v>
      </c>
      <c r="AC10" s="84">
        <f t="shared" si="17"/>
        <v>279857.43107379222</v>
      </c>
      <c r="AD10" s="80" t="s">
        <v>8</v>
      </c>
      <c r="AE10" s="32" t="s">
        <v>8</v>
      </c>
      <c r="AF10" s="37">
        <f t="shared" si="18"/>
        <v>0.5247087970492087</v>
      </c>
      <c r="AG10" s="35">
        <f t="shared" si="19"/>
        <v>3.9427150811262801E-2</v>
      </c>
      <c r="AH10" s="57">
        <f t="shared" si="20"/>
        <v>340942.39468251774</v>
      </c>
      <c r="AI10" s="84">
        <f t="shared" si="21"/>
        <v>340942.39468251774</v>
      </c>
      <c r="AJ10" s="80" t="s">
        <v>8</v>
      </c>
      <c r="AK10" s="32" t="s">
        <v>8</v>
      </c>
      <c r="AL10" s="37">
        <f t="shared" si="22"/>
        <v>0.59464228708950739</v>
      </c>
      <c r="AM10" s="35">
        <f t="shared" si="23"/>
        <v>2.3450174173820892E-2</v>
      </c>
      <c r="AN10" s="57">
        <f t="shared" si="24"/>
        <v>214575.37325769328</v>
      </c>
      <c r="AO10" s="84">
        <f t="shared" si="25"/>
        <v>214575.37325769328</v>
      </c>
      <c r="AP10" s="80" t="s">
        <v>8</v>
      </c>
      <c r="AQ10" s="32" t="s">
        <v>8</v>
      </c>
      <c r="AR10" s="37">
        <f t="shared" si="26"/>
        <v>0.63865560125239917</v>
      </c>
      <c r="AS10" s="35">
        <f t="shared" si="27"/>
        <v>2.4616923223806819E-2</v>
      </c>
      <c r="AT10" s="57">
        <f t="shared" si="28"/>
        <v>236766.16608333704</v>
      </c>
      <c r="AU10" s="84">
        <f t="shared" si="29"/>
        <v>236766.16608333704</v>
      </c>
      <c r="AV10" s="80" t="s">
        <v>8</v>
      </c>
      <c r="AW10" s="32" t="s">
        <v>8</v>
      </c>
      <c r="AX10" s="37">
        <f t="shared" si="30"/>
        <v>0.68722065087929363</v>
      </c>
      <c r="AY10" s="35">
        <f t="shared" si="31"/>
        <v>1.5128737176337448E-2</v>
      </c>
      <c r="AZ10" s="57">
        <f t="shared" si="32"/>
        <v>154027.76982789417</v>
      </c>
      <c r="BA10" s="84">
        <f t="shared" si="33"/>
        <v>1552.7723176941406</v>
      </c>
      <c r="BB10" s="206">
        <f t="shared" ref="BB10:BB23" si="36">Q10+W10+AC10+AI10+AO10+AU10+BA10</f>
        <v>1731611.9013457953</v>
      </c>
      <c r="BC10" s="108">
        <f t="shared" si="34"/>
        <v>2099301.8718506866</v>
      </c>
      <c r="BD10" s="89">
        <f t="shared" si="35"/>
        <v>0.68753915274092181</v>
      </c>
    </row>
    <row r="11" spans="1:56" s="27" customFormat="1" ht="16.5" thickBot="1" x14ac:dyDescent="0.3">
      <c r="A11" s="183" t="s">
        <v>87</v>
      </c>
      <c r="B11" s="186" t="s">
        <v>8</v>
      </c>
      <c r="C11" s="186" t="s">
        <v>8</v>
      </c>
      <c r="D11" s="186" t="s">
        <v>8</v>
      </c>
      <c r="E11" s="186" t="s">
        <v>8</v>
      </c>
      <c r="F11" s="186" t="s">
        <v>8</v>
      </c>
      <c r="G11" s="117">
        <f>'Исходные данные'!C13</f>
        <v>550</v>
      </c>
      <c r="H11" s="33">
        <f>'Исходные данные'!D13</f>
        <v>744736</v>
      </c>
      <c r="I11" s="34">
        <f>'Расчет КРП'!G9</f>
        <v>3.4861260586776472</v>
      </c>
      <c r="J11" s="124" t="s">
        <v>8</v>
      </c>
      <c r="K11" s="128">
        <f t="shared" si="4"/>
        <v>0.19027317632384816</v>
      </c>
      <c r="L11" s="81">
        <f t="shared" si="5"/>
        <v>354788.56803103565</v>
      </c>
      <c r="M11" s="77">
        <f t="shared" si="6"/>
        <v>0.28091838182305168</v>
      </c>
      <c r="N11" s="32" t="s">
        <v>8</v>
      </c>
      <c r="O11" s="35">
        <f t="shared" si="7"/>
        <v>7.6848890678211546E-2</v>
      </c>
      <c r="P11" s="36">
        <f t="shared" si="8"/>
        <v>395838.90271524113</v>
      </c>
      <c r="Q11" s="84">
        <f t="shared" si="9"/>
        <v>395838.90271524113</v>
      </c>
      <c r="R11" s="191" t="s">
        <v>8</v>
      </c>
      <c r="S11" s="32" t="s">
        <v>8</v>
      </c>
      <c r="T11" s="37">
        <f t="shared" si="10"/>
        <v>0.38205156906279258</v>
      </c>
      <c r="U11" s="35">
        <f t="shared" si="11"/>
        <v>5.0739122209935095E-2</v>
      </c>
      <c r="V11" s="57">
        <f t="shared" si="12"/>
        <v>300909.4137753023</v>
      </c>
      <c r="W11" s="84">
        <f t="shared" si="13"/>
        <v>300909.4137753023</v>
      </c>
      <c r="X11" s="80" t="s">
        <v>8</v>
      </c>
      <c r="Y11" s="32" t="s">
        <v>8</v>
      </c>
      <c r="Z11" s="37">
        <f t="shared" si="14"/>
        <v>0.45893114779240124</v>
      </c>
      <c r="AA11" s="35">
        <f t="shared" si="15"/>
        <v>4.3364526227128553E-2</v>
      </c>
      <c r="AB11" s="57">
        <f t="shared" si="16"/>
        <v>278450.13313650189</v>
      </c>
      <c r="AC11" s="84">
        <f t="shared" si="17"/>
        <v>278450.13313650189</v>
      </c>
      <c r="AD11" s="80" t="s">
        <v>8</v>
      </c>
      <c r="AE11" s="32" t="s">
        <v>8</v>
      </c>
      <c r="AF11" s="37">
        <f t="shared" si="18"/>
        <v>0.53007258755049091</v>
      </c>
      <c r="AG11" s="35">
        <f t="shared" si="19"/>
        <v>3.4063360309980584E-2</v>
      </c>
      <c r="AH11" s="57">
        <f t="shared" si="20"/>
        <v>236484.17080203068</v>
      </c>
      <c r="AI11" s="84">
        <f t="shared" si="21"/>
        <v>236484.17080203068</v>
      </c>
      <c r="AJ11" s="80" t="s">
        <v>8</v>
      </c>
      <c r="AK11" s="32" t="s">
        <v>8</v>
      </c>
      <c r="AL11" s="37">
        <f t="shared" si="22"/>
        <v>0.59049211115189304</v>
      </c>
      <c r="AM11" s="35">
        <f t="shared" si="23"/>
        <v>2.7600350111435246E-2</v>
      </c>
      <c r="AN11" s="57">
        <f t="shared" si="24"/>
        <v>202757.70642240209</v>
      </c>
      <c r="AO11" s="84">
        <f t="shared" si="25"/>
        <v>202757.70642240209</v>
      </c>
      <c r="AP11" s="80" t="s">
        <v>8</v>
      </c>
      <c r="AQ11" s="32" t="s">
        <v>8</v>
      </c>
      <c r="AR11" s="37">
        <f t="shared" si="26"/>
        <v>0.64229483429825462</v>
      </c>
      <c r="AS11" s="35">
        <f t="shared" si="27"/>
        <v>2.0977690177951369E-2</v>
      </c>
      <c r="AT11" s="57">
        <f t="shared" si="28"/>
        <v>161984.1466694391</v>
      </c>
      <c r="AU11" s="84">
        <f t="shared" si="29"/>
        <v>161984.1466694391</v>
      </c>
      <c r="AV11" s="80" t="s">
        <v>8</v>
      </c>
      <c r="AW11" s="32" t="s">
        <v>8</v>
      </c>
      <c r="AX11" s="37">
        <f t="shared" si="30"/>
        <v>0.68368028914521006</v>
      </c>
      <c r="AY11" s="35">
        <f t="shared" si="31"/>
        <v>1.8669098910421011E-2</v>
      </c>
      <c r="AZ11" s="57">
        <f t="shared" si="32"/>
        <v>152597.9434072478</v>
      </c>
      <c r="BA11" s="84">
        <f t="shared" si="33"/>
        <v>1538.3580670199399</v>
      </c>
      <c r="BB11" s="206">
        <f t="shared" si="36"/>
        <v>1577962.831587937</v>
      </c>
      <c r="BC11" s="108">
        <f t="shared" si="34"/>
        <v>1932751.3996189726</v>
      </c>
      <c r="BD11" s="89">
        <f t="shared" si="35"/>
        <v>0.6840733254369098</v>
      </c>
    </row>
    <row r="12" spans="1:56" s="27" customFormat="1" ht="16.5" thickBot="1" x14ac:dyDescent="0.3">
      <c r="A12" s="183" t="s">
        <v>88</v>
      </c>
      <c r="B12" s="186" t="s">
        <v>8</v>
      </c>
      <c r="C12" s="186" t="s">
        <v>8</v>
      </c>
      <c r="D12" s="186" t="s">
        <v>8</v>
      </c>
      <c r="E12" s="186" t="s">
        <v>8</v>
      </c>
      <c r="F12" s="186" t="s">
        <v>8</v>
      </c>
      <c r="G12" s="117">
        <f>'Исходные данные'!C14</f>
        <v>684</v>
      </c>
      <c r="H12" s="33">
        <f>'Исходные данные'!D14</f>
        <v>1009151</v>
      </c>
      <c r="I12" s="34">
        <f>'Расчет КРП'!G10</f>
        <v>3.7646343175331056</v>
      </c>
      <c r="J12" s="124" t="s">
        <v>8</v>
      </c>
      <c r="K12" s="128">
        <f t="shared" si="4"/>
        <v>0.19198100167867091</v>
      </c>
      <c r="L12" s="81">
        <f t="shared" si="5"/>
        <v>441227.96460586984</v>
      </c>
      <c r="M12" s="77">
        <f t="shared" si="6"/>
        <v>0.27592026013818399</v>
      </c>
      <c r="N12" s="32" t="s">
        <v>8</v>
      </c>
      <c r="O12" s="35">
        <f t="shared" si="7"/>
        <v>8.184701236307923E-2</v>
      </c>
      <c r="P12" s="36">
        <f t="shared" si="8"/>
        <v>566182.99870725221</v>
      </c>
      <c r="Q12" s="84">
        <f t="shared" si="9"/>
        <v>566182.99870725221</v>
      </c>
      <c r="R12" s="191" t="s">
        <v>8</v>
      </c>
      <c r="S12" s="32" t="s">
        <v>8</v>
      </c>
      <c r="T12" s="37">
        <f t="shared" si="10"/>
        <v>0.38363097857898409</v>
      </c>
      <c r="U12" s="35">
        <f t="shared" si="11"/>
        <v>4.9159712693743585E-2</v>
      </c>
      <c r="V12" s="57">
        <f t="shared" si="12"/>
        <v>391539.23045488296</v>
      </c>
      <c r="W12" s="84">
        <f t="shared" si="13"/>
        <v>391539.23045488296</v>
      </c>
      <c r="X12" s="80" t="s">
        <v>8</v>
      </c>
      <c r="Y12" s="32" t="s">
        <v>8</v>
      </c>
      <c r="Z12" s="37">
        <f t="shared" si="14"/>
        <v>0.45811744656962611</v>
      </c>
      <c r="AA12" s="35">
        <f t="shared" si="15"/>
        <v>4.4178227449903684E-2</v>
      </c>
      <c r="AB12" s="57">
        <f t="shared" si="16"/>
        <v>380973.03055549087</v>
      </c>
      <c r="AC12" s="84">
        <f t="shared" si="17"/>
        <v>380973.03055549087</v>
      </c>
      <c r="AD12" s="80" t="s">
        <v>8</v>
      </c>
      <c r="AE12" s="32" t="s">
        <v>8</v>
      </c>
      <c r="AF12" s="37">
        <f t="shared" si="18"/>
        <v>0.53059379948272045</v>
      </c>
      <c r="AG12" s="35">
        <f t="shared" si="19"/>
        <v>3.3542148377751047E-2</v>
      </c>
      <c r="AH12" s="57">
        <f t="shared" si="20"/>
        <v>312736.51018344169</v>
      </c>
      <c r="AI12" s="84">
        <f t="shared" si="21"/>
        <v>312736.51018344169</v>
      </c>
      <c r="AJ12" s="80" t="s">
        <v>8</v>
      </c>
      <c r="AK12" s="32" t="s">
        <v>8</v>
      </c>
      <c r="AL12" s="37">
        <f t="shared" si="22"/>
        <v>0.59008882895453296</v>
      </c>
      <c r="AM12" s="35">
        <f t="shared" si="23"/>
        <v>2.8003632308795323E-2</v>
      </c>
      <c r="AN12" s="57">
        <f t="shared" si="24"/>
        <v>276280.52162515128</v>
      </c>
      <c r="AO12" s="84">
        <f t="shared" si="25"/>
        <v>276280.52162515128</v>
      </c>
      <c r="AP12" s="80" t="s">
        <v>8</v>
      </c>
      <c r="AQ12" s="32" t="s">
        <v>8</v>
      </c>
      <c r="AR12" s="37">
        <f t="shared" si="26"/>
        <v>0.64264846699274747</v>
      </c>
      <c r="AS12" s="35">
        <f t="shared" si="27"/>
        <v>2.0624057483458524E-2</v>
      </c>
      <c r="AT12" s="57">
        <f t="shared" si="28"/>
        <v>213876.01212362267</v>
      </c>
      <c r="AU12" s="84">
        <f t="shared" si="29"/>
        <v>213876.01212362267</v>
      </c>
      <c r="AV12" s="80" t="s">
        <v>8</v>
      </c>
      <c r="AW12" s="32" t="s">
        <v>8</v>
      </c>
      <c r="AX12" s="37">
        <f t="shared" si="30"/>
        <v>0.68333626400482261</v>
      </c>
      <c r="AY12" s="35">
        <f t="shared" si="31"/>
        <v>1.9013124050808461E-2</v>
      </c>
      <c r="AZ12" s="57">
        <f t="shared" si="32"/>
        <v>208714.1663687262</v>
      </c>
      <c r="BA12" s="84">
        <f t="shared" si="33"/>
        <v>2104.0724033730448</v>
      </c>
      <c r="BB12" s="206">
        <f t="shared" si="36"/>
        <v>2143692.3760532145</v>
      </c>
      <c r="BC12" s="108">
        <f t="shared" si="34"/>
        <v>2584920.3406590843</v>
      </c>
      <c r="BD12" s="89">
        <f t="shared" si="35"/>
        <v>0.68373654297952902</v>
      </c>
    </row>
    <row r="13" spans="1:56" s="27" customFormat="1" ht="15.75" customHeight="1" thickBot="1" x14ac:dyDescent="0.3">
      <c r="A13" s="183" t="s">
        <v>89</v>
      </c>
      <c r="B13" s="186" t="s">
        <v>8</v>
      </c>
      <c r="C13" s="186" t="s">
        <v>8</v>
      </c>
      <c r="D13" s="186" t="s">
        <v>8</v>
      </c>
      <c r="E13" s="186" t="s">
        <v>8</v>
      </c>
      <c r="F13" s="186" t="s">
        <v>8</v>
      </c>
      <c r="G13" s="117">
        <f>'Исходные данные'!C15</f>
        <v>298</v>
      </c>
      <c r="H13" s="33">
        <f>'Исходные данные'!D15</f>
        <v>938651</v>
      </c>
      <c r="I13" s="34">
        <f>'Расчет КРП'!G11</f>
        <v>4.6821393477141928</v>
      </c>
      <c r="J13" s="124" t="s">
        <v>8</v>
      </c>
      <c r="K13" s="128">
        <f t="shared" si="4"/>
        <v>0.32955245043389536</v>
      </c>
      <c r="L13" s="81">
        <f t="shared" si="5"/>
        <v>192230.89686045208</v>
      </c>
      <c r="M13" s="77">
        <f t="shared" si="6"/>
        <v>0.39704309723389597</v>
      </c>
      <c r="N13" s="32" t="s">
        <v>8</v>
      </c>
      <c r="O13" s="35">
        <f t="shared" si="7"/>
        <v>-3.9275824732632747E-2</v>
      </c>
      <c r="P13" s="36">
        <f t="shared" si="8"/>
        <v>0</v>
      </c>
      <c r="Q13" s="84">
        <f t="shared" si="9"/>
        <v>0</v>
      </c>
      <c r="R13" s="191" t="s">
        <v>8</v>
      </c>
      <c r="S13" s="32" t="s">
        <v>8</v>
      </c>
      <c r="T13" s="37">
        <f t="shared" si="10"/>
        <v>0.39704309723389597</v>
      </c>
      <c r="U13" s="35">
        <f t="shared" si="11"/>
        <v>3.5747594038831709E-2</v>
      </c>
      <c r="V13" s="57">
        <f t="shared" si="12"/>
        <v>154274.61258871996</v>
      </c>
      <c r="W13" s="84">
        <f t="shared" si="13"/>
        <v>154274.61258871996</v>
      </c>
      <c r="X13" s="80" t="s">
        <v>8</v>
      </c>
      <c r="Y13" s="32" t="s">
        <v>8</v>
      </c>
      <c r="Z13" s="37">
        <f t="shared" si="14"/>
        <v>0.45120761271233523</v>
      </c>
      <c r="AA13" s="35">
        <f t="shared" si="15"/>
        <v>5.1088061307194566E-2</v>
      </c>
      <c r="AB13" s="57">
        <f t="shared" si="16"/>
        <v>238719.04507430393</v>
      </c>
      <c r="AC13" s="84">
        <f t="shared" si="17"/>
        <v>238719.04507430393</v>
      </c>
      <c r="AD13" s="80" t="s">
        <v>8</v>
      </c>
      <c r="AE13" s="32" t="s">
        <v>8</v>
      </c>
      <c r="AF13" s="37">
        <f t="shared" si="18"/>
        <v>0.53501985631456483</v>
      </c>
      <c r="AG13" s="35">
        <f t="shared" si="19"/>
        <v>2.9116091545906664E-2</v>
      </c>
      <c r="AH13" s="57">
        <f t="shared" si="20"/>
        <v>147096.54981247333</v>
      </c>
      <c r="AI13" s="84">
        <f t="shared" si="21"/>
        <v>147096.54981247333</v>
      </c>
      <c r="AJ13" s="80" t="s">
        <v>8</v>
      </c>
      <c r="AK13" s="32" t="s">
        <v>8</v>
      </c>
      <c r="AL13" s="37">
        <f t="shared" si="22"/>
        <v>0.58666421448503725</v>
      </c>
      <c r="AM13" s="35">
        <f t="shared" si="23"/>
        <v>3.1428246778291036E-2</v>
      </c>
      <c r="AN13" s="57">
        <f t="shared" si="24"/>
        <v>168011.01502197344</v>
      </c>
      <c r="AO13" s="84">
        <f t="shared" si="25"/>
        <v>168011.01502197344</v>
      </c>
      <c r="AP13" s="80" t="s">
        <v>8</v>
      </c>
      <c r="AQ13" s="32" t="s">
        <v>8</v>
      </c>
      <c r="AR13" s="37">
        <f t="shared" si="26"/>
        <v>0.645651465018385</v>
      </c>
      <c r="AS13" s="35">
        <f t="shared" si="27"/>
        <v>1.7621059457820998E-2</v>
      </c>
      <c r="AT13" s="57">
        <f t="shared" si="28"/>
        <v>99015.157866291818</v>
      </c>
      <c r="AU13" s="84">
        <f t="shared" si="29"/>
        <v>99015.157866291818</v>
      </c>
      <c r="AV13" s="80" t="s">
        <v>8</v>
      </c>
      <c r="AW13" s="32" t="s">
        <v>8</v>
      </c>
      <c r="AX13" s="37">
        <f t="shared" si="30"/>
        <v>0.68041485194806972</v>
      </c>
      <c r="AY13" s="35">
        <f t="shared" si="31"/>
        <v>2.1934536107561353E-2</v>
      </c>
      <c r="AZ13" s="57">
        <f t="shared" si="32"/>
        <v>130469.38046307478</v>
      </c>
      <c r="BA13" s="84">
        <f t="shared" si="33"/>
        <v>1315.2773848256984</v>
      </c>
      <c r="BB13" s="206">
        <f t="shared" si="36"/>
        <v>808431.65774858824</v>
      </c>
      <c r="BC13" s="108">
        <f t="shared" si="34"/>
        <v>1000662.5546090403</v>
      </c>
      <c r="BD13" s="89">
        <f t="shared" si="35"/>
        <v>0.68087663474611659</v>
      </c>
    </row>
    <row r="14" spans="1:56" s="27" customFormat="1" ht="16.5" thickBot="1" x14ac:dyDescent="0.3">
      <c r="A14" s="183" t="s">
        <v>90</v>
      </c>
      <c r="B14" s="186" t="s">
        <v>8</v>
      </c>
      <c r="C14" s="186" t="s">
        <v>8</v>
      </c>
      <c r="D14" s="186" t="s">
        <v>8</v>
      </c>
      <c r="E14" s="186" t="s">
        <v>8</v>
      </c>
      <c r="F14" s="186" t="s">
        <v>8</v>
      </c>
      <c r="G14" s="117">
        <f>'Исходные данные'!C16</f>
        <v>355</v>
      </c>
      <c r="H14" s="33">
        <f>'Исходные данные'!D16</f>
        <v>778053</v>
      </c>
      <c r="I14" s="34">
        <f>'Расчет КРП'!G12</f>
        <v>4.8809133873005477</v>
      </c>
      <c r="J14" s="124" t="s">
        <v>8</v>
      </c>
      <c r="K14" s="128">
        <f t="shared" si="4"/>
        <v>0.21996861707092646</v>
      </c>
      <c r="L14" s="81">
        <f t="shared" si="5"/>
        <v>228999.8939109412</v>
      </c>
      <c r="M14" s="77">
        <f t="shared" si="6"/>
        <v>0.28471072329373986</v>
      </c>
      <c r="N14" s="32" t="s">
        <v>8</v>
      </c>
      <c r="O14" s="35">
        <f t="shared" si="7"/>
        <v>7.3056549207523358E-2</v>
      </c>
      <c r="P14" s="36">
        <f t="shared" si="8"/>
        <v>340066.38392561593</v>
      </c>
      <c r="Q14" s="84">
        <f t="shared" si="9"/>
        <v>340066.38392561593</v>
      </c>
      <c r="R14" s="191" t="s">
        <v>8</v>
      </c>
      <c r="S14" s="32" t="s">
        <v>8</v>
      </c>
      <c r="T14" s="37">
        <f t="shared" si="10"/>
        <v>0.38085318683340669</v>
      </c>
      <c r="U14" s="35">
        <f t="shared" si="11"/>
        <v>5.1937504439320992E-2</v>
      </c>
      <c r="V14" s="57">
        <f t="shared" si="12"/>
        <v>278354.07313069195</v>
      </c>
      <c r="W14" s="84">
        <f t="shared" si="13"/>
        <v>278354.07313069195</v>
      </c>
      <c r="X14" s="80" t="s">
        <v>8</v>
      </c>
      <c r="Y14" s="32" t="s">
        <v>8</v>
      </c>
      <c r="Z14" s="37">
        <f t="shared" si="14"/>
        <v>0.45954854630457098</v>
      </c>
      <c r="AA14" s="35">
        <f t="shared" si="15"/>
        <v>4.274712771495881E-2</v>
      </c>
      <c r="AB14" s="57">
        <f t="shared" si="16"/>
        <v>248052.40387108614</v>
      </c>
      <c r="AC14" s="84">
        <f t="shared" si="17"/>
        <v>248052.40387108614</v>
      </c>
      <c r="AD14" s="80" t="s">
        <v>8</v>
      </c>
      <c r="AE14" s="32" t="s">
        <v>8</v>
      </c>
      <c r="AF14" s="37">
        <f t="shared" si="18"/>
        <v>0.52967711626142711</v>
      </c>
      <c r="AG14" s="35">
        <f t="shared" si="19"/>
        <v>3.4458831599044393E-2</v>
      </c>
      <c r="AH14" s="57">
        <f t="shared" si="20"/>
        <v>216191.59869594107</v>
      </c>
      <c r="AI14" s="84">
        <f t="shared" si="21"/>
        <v>216191.59869594107</v>
      </c>
      <c r="AJ14" s="80" t="s">
        <v>8</v>
      </c>
      <c r="AK14" s="32" t="s">
        <v>8</v>
      </c>
      <c r="AL14" s="37">
        <f t="shared" si="22"/>
        <v>0.59079810286195289</v>
      </c>
      <c r="AM14" s="35">
        <f t="shared" si="23"/>
        <v>2.7294358401375396E-2</v>
      </c>
      <c r="AN14" s="57">
        <f t="shared" si="24"/>
        <v>181200.48098726189</v>
      </c>
      <c r="AO14" s="84">
        <f t="shared" si="25"/>
        <v>181200.48098726189</v>
      </c>
      <c r="AP14" s="80" t="s">
        <v>8</v>
      </c>
      <c r="AQ14" s="32" t="s">
        <v>8</v>
      </c>
      <c r="AR14" s="37">
        <f t="shared" si="26"/>
        <v>0.64202651431381375</v>
      </c>
      <c r="AS14" s="35">
        <f t="shared" si="27"/>
        <v>2.1246010162392248E-2</v>
      </c>
      <c r="AT14" s="57">
        <f t="shared" si="28"/>
        <v>148257.23891667818</v>
      </c>
      <c r="AU14" s="84">
        <f t="shared" si="29"/>
        <v>148257.23891667818</v>
      </c>
      <c r="AV14" s="80" t="s">
        <v>8</v>
      </c>
      <c r="AW14" s="32" t="s">
        <v>8</v>
      </c>
      <c r="AX14" s="37">
        <f t="shared" si="30"/>
        <v>0.68394131936598335</v>
      </c>
      <c r="AY14" s="35">
        <f t="shared" si="31"/>
        <v>1.8408068689647727E-2</v>
      </c>
      <c r="AZ14" s="57">
        <f t="shared" si="32"/>
        <v>135974.42395579195</v>
      </c>
      <c r="BA14" s="84">
        <f t="shared" si="33"/>
        <v>1370.774384832547</v>
      </c>
      <c r="BB14" s="206">
        <f t="shared" si="36"/>
        <v>1413492.9539121077</v>
      </c>
      <c r="BC14" s="108">
        <f t="shared" si="34"/>
        <v>1642492.8478230489</v>
      </c>
      <c r="BD14" s="89">
        <f t="shared" si="35"/>
        <v>0.68432886024783568</v>
      </c>
    </row>
    <row r="15" spans="1:56" s="27" customFormat="1" ht="16.5" thickBot="1" x14ac:dyDescent="0.3">
      <c r="A15" s="183" t="s">
        <v>91</v>
      </c>
      <c r="B15" s="186" t="s">
        <v>8</v>
      </c>
      <c r="C15" s="186" t="s">
        <v>8</v>
      </c>
      <c r="D15" s="186" t="s">
        <v>8</v>
      </c>
      <c r="E15" s="186" t="s">
        <v>8</v>
      </c>
      <c r="F15" s="186" t="s">
        <v>8</v>
      </c>
      <c r="G15" s="117">
        <f>'Исходные данные'!C17</f>
        <v>644</v>
      </c>
      <c r="H15" s="33">
        <f>'Исходные данные'!D17</f>
        <v>1199716</v>
      </c>
      <c r="I15" s="34">
        <f>'Расчет КРП'!G13</f>
        <v>4.2834682513686779</v>
      </c>
      <c r="J15" s="124" t="s">
        <v>8</v>
      </c>
      <c r="K15" s="128">
        <f t="shared" si="4"/>
        <v>0.21304827794538247</v>
      </c>
      <c r="L15" s="81">
        <f t="shared" si="5"/>
        <v>415425.15965815814</v>
      </c>
      <c r="M15" s="77">
        <f t="shared" si="6"/>
        <v>0.2868204164184513</v>
      </c>
      <c r="N15" s="32" t="s">
        <v>8</v>
      </c>
      <c r="O15" s="35">
        <f t="shared" si="7"/>
        <v>7.0946856082811927E-2</v>
      </c>
      <c r="P15" s="36">
        <f t="shared" si="8"/>
        <v>525762.57559701498</v>
      </c>
      <c r="Q15" s="84">
        <f t="shared" si="9"/>
        <v>525762.57559701498</v>
      </c>
      <c r="R15" s="191" t="s">
        <v>8</v>
      </c>
      <c r="S15" s="32" t="s">
        <v>8</v>
      </c>
      <c r="T15" s="37">
        <f t="shared" si="10"/>
        <v>0.38018652251278784</v>
      </c>
      <c r="U15" s="35">
        <f t="shared" si="11"/>
        <v>5.260416875993984E-2</v>
      </c>
      <c r="V15" s="57">
        <f t="shared" si="12"/>
        <v>448836.97871406307</v>
      </c>
      <c r="W15" s="84">
        <f t="shared" si="13"/>
        <v>448836.97871406307</v>
      </c>
      <c r="X15" s="80" t="s">
        <v>8</v>
      </c>
      <c r="Y15" s="32" t="s">
        <v>8</v>
      </c>
      <c r="Z15" s="37">
        <f t="shared" si="14"/>
        <v>0.45989200730522145</v>
      </c>
      <c r="AA15" s="35">
        <f t="shared" si="15"/>
        <v>4.2403666714308341E-2</v>
      </c>
      <c r="AB15" s="57">
        <f t="shared" si="16"/>
        <v>391734.5521437382</v>
      </c>
      <c r="AC15" s="84">
        <f t="shared" si="17"/>
        <v>391734.5521437382</v>
      </c>
      <c r="AD15" s="80" t="s">
        <v>8</v>
      </c>
      <c r="AE15" s="32" t="s">
        <v>8</v>
      </c>
      <c r="AF15" s="37">
        <f t="shared" si="18"/>
        <v>0.52945711416878671</v>
      </c>
      <c r="AG15" s="35">
        <f t="shared" si="19"/>
        <v>3.4678833691684785E-2</v>
      </c>
      <c r="AH15" s="57">
        <f t="shared" si="20"/>
        <v>346381.52018096671</v>
      </c>
      <c r="AI15" s="84">
        <f t="shared" si="21"/>
        <v>346381.52018096671</v>
      </c>
      <c r="AJ15" s="80" t="s">
        <v>8</v>
      </c>
      <c r="AK15" s="32" t="s">
        <v>8</v>
      </c>
      <c r="AL15" s="37">
        <f t="shared" si="22"/>
        <v>0.59096832714474001</v>
      </c>
      <c r="AM15" s="35">
        <f t="shared" si="23"/>
        <v>2.7124134118588272E-2</v>
      </c>
      <c r="AN15" s="57">
        <f t="shared" si="24"/>
        <v>286677.95965394523</v>
      </c>
      <c r="AO15" s="84">
        <f t="shared" si="25"/>
        <v>286677.95965394523</v>
      </c>
      <c r="AP15" s="80" t="s">
        <v>8</v>
      </c>
      <c r="AQ15" s="32" t="s">
        <v>8</v>
      </c>
      <c r="AR15" s="37">
        <f t="shared" si="26"/>
        <v>0.64187724694673376</v>
      </c>
      <c r="AS15" s="35">
        <f t="shared" si="27"/>
        <v>2.1395277529472234E-2</v>
      </c>
      <c r="AT15" s="57">
        <f t="shared" si="28"/>
        <v>237688.63287346624</v>
      </c>
      <c r="AU15" s="84">
        <f t="shared" si="29"/>
        <v>237688.63287346624</v>
      </c>
      <c r="AV15" s="80" t="s">
        <v>8</v>
      </c>
      <c r="AW15" s="32" t="s">
        <v>8</v>
      </c>
      <c r="AX15" s="37">
        <f t="shared" si="30"/>
        <v>0.6840865314114607</v>
      </c>
      <c r="AY15" s="35">
        <f t="shared" si="31"/>
        <v>1.8262856644170378E-2</v>
      </c>
      <c r="AZ15" s="57">
        <f t="shared" si="32"/>
        <v>214768.05151788241</v>
      </c>
      <c r="BA15" s="84">
        <f t="shared" si="33"/>
        <v>2165.1023415758314</v>
      </c>
      <c r="BB15" s="206">
        <f t="shared" si="36"/>
        <v>2239247.3215047703</v>
      </c>
      <c r="BC15" s="108">
        <f t="shared" si="34"/>
        <v>2654672.4811629285</v>
      </c>
      <c r="BD15" s="89">
        <f t="shared" si="35"/>
        <v>0.6844710151771588</v>
      </c>
    </row>
    <row r="16" spans="1:56" s="27" customFormat="1" ht="16.5" thickBot="1" x14ac:dyDescent="0.3">
      <c r="A16" s="184" t="s">
        <v>92</v>
      </c>
      <c r="B16" s="186" t="s">
        <v>8</v>
      </c>
      <c r="C16" s="186" t="s">
        <v>8</v>
      </c>
      <c r="D16" s="186" t="s">
        <v>8</v>
      </c>
      <c r="E16" s="186" t="s">
        <v>8</v>
      </c>
      <c r="F16" s="186" t="s">
        <v>8</v>
      </c>
      <c r="G16" s="117">
        <f>'Исходные данные'!C18</f>
        <v>396</v>
      </c>
      <c r="H16" s="33">
        <f>'Исходные данные'!D18</f>
        <v>657228</v>
      </c>
      <c r="I16" s="34">
        <f>'Расчет КРП'!G14</f>
        <v>3.3139300921809927</v>
      </c>
      <c r="J16" s="124" t="s">
        <v>8</v>
      </c>
      <c r="K16" s="128">
        <f t="shared" si="4"/>
        <v>0.24533444406960386</v>
      </c>
      <c r="L16" s="81">
        <f t="shared" si="5"/>
        <v>255447.76898234565</v>
      </c>
      <c r="M16" s="77">
        <f t="shared" si="6"/>
        <v>0.3406896882042183</v>
      </c>
      <c r="N16" s="32" t="s">
        <v>8</v>
      </c>
      <c r="O16" s="35">
        <f t="shared" si="7"/>
        <v>1.7077584297044923E-2</v>
      </c>
      <c r="P16" s="36">
        <f t="shared" si="8"/>
        <v>60206.039740268337</v>
      </c>
      <c r="Q16" s="84">
        <f t="shared" si="9"/>
        <v>60206.039740268337</v>
      </c>
      <c r="R16" s="191" t="s">
        <v>8</v>
      </c>
      <c r="S16" s="32" t="s">
        <v>8</v>
      </c>
      <c r="T16" s="37">
        <f t="shared" si="10"/>
        <v>0.36316379960743178</v>
      </c>
      <c r="U16" s="35">
        <f t="shared" si="11"/>
        <v>6.9626891665295898E-2</v>
      </c>
      <c r="V16" s="57">
        <f t="shared" si="12"/>
        <v>282619.79979451507</v>
      </c>
      <c r="W16" s="84">
        <f t="shared" si="13"/>
        <v>282619.79979451507</v>
      </c>
      <c r="X16" s="80" t="s">
        <v>8</v>
      </c>
      <c r="Y16" s="32" t="s">
        <v>8</v>
      </c>
      <c r="Z16" s="37">
        <f t="shared" si="14"/>
        <v>0.46866200033176203</v>
      </c>
      <c r="AA16" s="35">
        <f t="shared" si="15"/>
        <v>3.3633673687767762E-2</v>
      </c>
      <c r="AB16" s="57">
        <f t="shared" si="16"/>
        <v>147815.4678240463</v>
      </c>
      <c r="AC16" s="84">
        <f t="shared" si="17"/>
        <v>147815.4678240463</v>
      </c>
      <c r="AD16" s="80" t="s">
        <v>8</v>
      </c>
      <c r="AE16" s="32" t="s">
        <v>8</v>
      </c>
      <c r="AF16" s="37">
        <f t="shared" si="18"/>
        <v>0.52383954240772468</v>
      </c>
      <c r="AG16" s="35">
        <f t="shared" si="19"/>
        <v>4.029640545274682E-2</v>
      </c>
      <c r="AH16" s="57">
        <f t="shared" si="20"/>
        <v>191475.69188261635</v>
      </c>
      <c r="AI16" s="84">
        <f t="shared" si="21"/>
        <v>191475.69188261635</v>
      </c>
      <c r="AJ16" s="80" t="s">
        <v>8</v>
      </c>
      <c r="AK16" s="32" t="s">
        <v>8</v>
      </c>
      <c r="AL16" s="37">
        <f t="shared" si="22"/>
        <v>0.59531486363698527</v>
      </c>
      <c r="AM16" s="35">
        <f t="shared" si="23"/>
        <v>2.2777597626343016E-2</v>
      </c>
      <c r="AN16" s="57">
        <f t="shared" si="24"/>
        <v>114525.82986102495</v>
      </c>
      <c r="AO16" s="84">
        <f t="shared" si="25"/>
        <v>114525.82986102495</v>
      </c>
      <c r="AP16" s="80" t="s">
        <v>8</v>
      </c>
      <c r="AQ16" s="32" t="s">
        <v>8</v>
      </c>
      <c r="AR16" s="37">
        <f t="shared" si="26"/>
        <v>0.63806582799115852</v>
      </c>
      <c r="AS16" s="35">
        <f t="shared" si="27"/>
        <v>2.5206696485047475E-2</v>
      </c>
      <c r="AT16" s="57">
        <f t="shared" si="28"/>
        <v>133218.1902021509</v>
      </c>
      <c r="AU16" s="84">
        <f t="shared" si="29"/>
        <v>133218.1902021509</v>
      </c>
      <c r="AV16" s="80" t="s">
        <v>8</v>
      </c>
      <c r="AW16" s="32" t="s">
        <v>8</v>
      </c>
      <c r="AX16" s="37">
        <f t="shared" si="30"/>
        <v>0.68779440107873768</v>
      </c>
      <c r="AY16" s="35">
        <f t="shared" si="31"/>
        <v>1.4554986976893391E-2</v>
      </c>
      <c r="AZ16" s="57">
        <f t="shared" si="32"/>
        <v>81427.274226721667</v>
      </c>
      <c r="BA16" s="84">
        <f t="shared" si="33"/>
        <v>820.87806287022704</v>
      </c>
      <c r="BB16" s="206">
        <f t="shared" si="36"/>
        <v>930681.8973674922</v>
      </c>
      <c r="BC16" s="108">
        <f t="shared" si="34"/>
        <v>1186129.6663498378</v>
      </c>
      <c r="BD16" s="89">
        <f t="shared" si="35"/>
        <v>0.68810082390795846</v>
      </c>
    </row>
    <row r="17" spans="1:57" s="27" customFormat="1" ht="16.5" thickBot="1" x14ac:dyDescent="0.3">
      <c r="A17" s="184" t="s">
        <v>93</v>
      </c>
      <c r="B17" s="186" t="s">
        <v>8</v>
      </c>
      <c r="C17" s="186" t="s">
        <v>8</v>
      </c>
      <c r="D17" s="186" t="s">
        <v>8</v>
      </c>
      <c r="E17" s="186" t="s">
        <v>8</v>
      </c>
      <c r="F17" s="186" t="s">
        <v>8</v>
      </c>
      <c r="G17" s="117">
        <f>'Исходные данные'!C19</f>
        <v>771</v>
      </c>
      <c r="H17" s="33">
        <f>'Исходные данные'!D19</f>
        <v>1123890</v>
      </c>
      <c r="I17" s="34">
        <f>'Расчет КРП'!G15</f>
        <v>5.7164381638669228</v>
      </c>
      <c r="J17" s="124" t="s">
        <v>8</v>
      </c>
      <c r="K17" s="128">
        <f t="shared" si="4"/>
        <v>0.12491796940581373</v>
      </c>
      <c r="L17" s="81">
        <f t="shared" si="5"/>
        <v>497349.06536714273</v>
      </c>
      <c r="M17" s="77">
        <f t="shared" si="6"/>
        <v>0.18019725415035526</v>
      </c>
      <c r="N17" s="32" t="s">
        <v>8</v>
      </c>
      <c r="O17" s="35">
        <f t="shared" si="7"/>
        <v>0.17757001835090797</v>
      </c>
      <c r="P17" s="36">
        <f t="shared" si="8"/>
        <v>2102444.8970044581</v>
      </c>
      <c r="Q17" s="84">
        <f t="shared" si="9"/>
        <v>2102444.8970044581</v>
      </c>
      <c r="R17" s="191" t="s">
        <v>8</v>
      </c>
      <c r="S17" s="32" t="s">
        <v>8</v>
      </c>
      <c r="T17" s="37">
        <f t="shared" si="10"/>
        <v>0.41387950714790139</v>
      </c>
      <c r="U17" s="35">
        <f t="shared" si="11"/>
        <v>1.8911184124826286E-2</v>
      </c>
      <c r="V17" s="57">
        <f t="shared" si="12"/>
        <v>257801.63026966827</v>
      </c>
      <c r="W17" s="84">
        <f t="shared" si="13"/>
        <v>257801.63026966827</v>
      </c>
      <c r="X17" s="80" t="s">
        <v>8</v>
      </c>
      <c r="Y17" s="32" t="s">
        <v>8</v>
      </c>
      <c r="Z17" s="37">
        <f t="shared" si="14"/>
        <v>0.44253360689324595</v>
      </c>
      <c r="AA17" s="35">
        <f t="shared" si="15"/>
        <v>5.9762067126283847E-2</v>
      </c>
      <c r="AB17" s="57">
        <f t="shared" si="16"/>
        <v>882089.28435792483</v>
      </c>
      <c r="AC17" s="84">
        <f t="shared" si="17"/>
        <v>882089.28435792483</v>
      </c>
      <c r="AD17" s="80" t="s">
        <v>8</v>
      </c>
      <c r="AE17" s="32" t="s">
        <v>8</v>
      </c>
      <c r="AF17" s="37">
        <f t="shared" si="18"/>
        <v>0.54057594398728492</v>
      </c>
      <c r="AG17" s="35">
        <f t="shared" si="19"/>
        <v>2.3560003873186575E-2</v>
      </c>
      <c r="AH17" s="57">
        <f t="shared" si="20"/>
        <v>375979.40546223999</v>
      </c>
      <c r="AI17" s="84">
        <f t="shared" si="21"/>
        <v>375979.40546223999</v>
      </c>
      <c r="AJ17" s="80" t="s">
        <v>8</v>
      </c>
      <c r="AK17" s="32" t="s">
        <v>8</v>
      </c>
      <c r="AL17" s="37">
        <f t="shared" si="22"/>
        <v>0.58236525065319367</v>
      </c>
      <c r="AM17" s="35">
        <f t="shared" si="23"/>
        <v>3.5727210610134619E-2</v>
      </c>
      <c r="AN17" s="57">
        <f t="shared" si="24"/>
        <v>603303.7158460113</v>
      </c>
      <c r="AO17" s="84">
        <f t="shared" si="25"/>
        <v>603303.7158460113</v>
      </c>
      <c r="AP17" s="80" t="s">
        <v>8</v>
      </c>
      <c r="AQ17" s="32" t="s">
        <v>8</v>
      </c>
      <c r="AR17" s="37">
        <f t="shared" si="26"/>
        <v>0.6494211681526515</v>
      </c>
      <c r="AS17" s="35">
        <f t="shared" si="27"/>
        <v>1.3851356323554498E-2</v>
      </c>
      <c r="AT17" s="57">
        <f t="shared" si="28"/>
        <v>245856.25293555527</v>
      </c>
      <c r="AU17" s="84">
        <f t="shared" si="29"/>
        <v>245856.25293555527</v>
      </c>
      <c r="AV17" s="80" t="s">
        <v>8</v>
      </c>
      <c r="AW17" s="32" t="s">
        <v>8</v>
      </c>
      <c r="AX17" s="37">
        <f t="shared" si="30"/>
        <v>0.67674756475946507</v>
      </c>
      <c r="AY17" s="35">
        <f t="shared" si="31"/>
        <v>2.5601823296166004E-2</v>
      </c>
      <c r="AZ17" s="57">
        <f t="shared" si="32"/>
        <v>481027.97146026848</v>
      </c>
      <c r="BA17" s="84">
        <f t="shared" si="33"/>
        <v>4849.3003498957678</v>
      </c>
      <c r="BB17" s="206">
        <f t="shared" si="36"/>
        <v>4472324.4862257531</v>
      </c>
      <c r="BC17" s="108">
        <f t="shared" si="34"/>
        <v>4969673.5515928958</v>
      </c>
      <c r="BD17" s="89">
        <f t="shared" si="35"/>
        <v>0.67728655412029926</v>
      </c>
    </row>
    <row r="18" spans="1:57" s="27" customFormat="1" ht="16.5" thickBot="1" x14ac:dyDescent="0.3">
      <c r="A18" s="184" t="s">
        <v>94</v>
      </c>
      <c r="B18" s="186" t="s">
        <v>8</v>
      </c>
      <c r="C18" s="186" t="s">
        <v>8</v>
      </c>
      <c r="D18" s="186" t="s">
        <v>8</v>
      </c>
      <c r="E18" s="186" t="s">
        <v>8</v>
      </c>
      <c r="F18" s="186" t="s">
        <v>8</v>
      </c>
      <c r="G18" s="117">
        <f>'Исходные данные'!C20</f>
        <v>361</v>
      </c>
      <c r="H18" s="33">
        <f>'Исходные данные'!D20</f>
        <v>647294</v>
      </c>
      <c r="I18" s="34">
        <f>'Расчет КРП'!G16</f>
        <v>3.5785878059051992</v>
      </c>
      <c r="J18" s="124" t="s">
        <v>8</v>
      </c>
      <c r="K18" s="128">
        <f t="shared" si="4"/>
        <v>0.24545037432056918</v>
      </c>
      <c r="L18" s="81">
        <f t="shared" si="5"/>
        <v>232870.31465309794</v>
      </c>
      <c r="M18" s="77">
        <f t="shared" si="6"/>
        <v>0.33375353470789187</v>
      </c>
      <c r="N18" s="32" t="s">
        <v>8</v>
      </c>
      <c r="O18" s="35">
        <f t="shared" si="7"/>
        <v>2.4013737793371348E-2</v>
      </c>
      <c r="P18" s="36">
        <f t="shared" si="8"/>
        <v>83340.046507076069</v>
      </c>
      <c r="Q18" s="84">
        <f t="shared" si="9"/>
        <v>83340.046507076069</v>
      </c>
      <c r="R18" s="191" t="s">
        <v>8</v>
      </c>
      <c r="S18" s="32" t="s">
        <v>8</v>
      </c>
      <c r="T18" s="37">
        <f t="shared" si="10"/>
        <v>0.36535562836402874</v>
      </c>
      <c r="U18" s="35">
        <f t="shared" si="11"/>
        <v>6.7435062908698939E-2</v>
      </c>
      <c r="V18" s="57">
        <f t="shared" si="12"/>
        <v>269458.38028664718</v>
      </c>
      <c r="W18" s="84">
        <f t="shared" si="13"/>
        <v>269458.38028664718</v>
      </c>
      <c r="X18" s="80" t="s">
        <v>8</v>
      </c>
      <c r="Y18" s="32" t="s">
        <v>8</v>
      </c>
      <c r="Z18" s="37">
        <f t="shared" si="14"/>
        <v>0.46753278481097837</v>
      </c>
      <c r="AA18" s="35">
        <f t="shared" si="15"/>
        <v>3.4762889208551417E-2</v>
      </c>
      <c r="AB18" s="57">
        <f t="shared" si="16"/>
        <v>150397.90655891327</v>
      </c>
      <c r="AC18" s="84">
        <f t="shared" si="17"/>
        <v>150397.90655891327</v>
      </c>
      <c r="AD18" s="80" t="s">
        <v>8</v>
      </c>
      <c r="AE18" s="32" t="s">
        <v>8</v>
      </c>
      <c r="AF18" s="37">
        <f t="shared" si="18"/>
        <v>0.52456285532285596</v>
      </c>
      <c r="AG18" s="35">
        <f t="shared" si="19"/>
        <v>3.957309253761554E-2</v>
      </c>
      <c r="AH18" s="57">
        <f t="shared" si="20"/>
        <v>185109.06258528365</v>
      </c>
      <c r="AI18" s="84">
        <f t="shared" si="21"/>
        <v>185109.06258528365</v>
      </c>
      <c r="AJ18" s="80" t="s">
        <v>8</v>
      </c>
      <c r="AK18" s="32" t="s">
        <v>8</v>
      </c>
      <c r="AL18" s="37">
        <f t="shared" si="22"/>
        <v>0.59475520795039083</v>
      </c>
      <c r="AM18" s="35">
        <f t="shared" si="23"/>
        <v>2.3337253312937456E-2</v>
      </c>
      <c r="AN18" s="57">
        <f t="shared" si="24"/>
        <v>115511.60597311366</v>
      </c>
      <c r="AO18" s="84">
        <f t="shared" si="25"/>
        <v>115511.60597311366</v>
      </c>
      <c r="AP18" s="80" t="s">
        <v>8</v>
      </c>
      <c r="AQ18" s="32" t="s">
        <v>8</v>
      </c>
      <c r="AR18" s="37">
        <f t="shared" si="26"/>
        <v>0.6385565824795395</v>
      </c>
      <c r="AS18" s="35">
        <f t="shared" si="27"/>
        <v>2.4715941996666491E-2</v>
      </c>
      <c r="AT18" s="57">
        <f t="shared" si="28"/>
        <v>128589.38395111887</v>
      </c>
      <c r="AU18" s="84">
        <f t="shared" si="29"/>
        <v>128589.38395111887</v>
      </c>
      <c r="AV18" s="80" t="s">
        <v>8</v>
      </c>
      <c r="AW18" s="32" t="s">
        <v>8</v>
      </c>
      <c r="AX18" s="37">
        <f t="shared" si="30"/>
        <v>0.68731697949303516</v>
      </c>
      <c r="AY18" s="35">
        <f t="shared" si="31"/>
        <v>1.5032408562595911E-2</v>
      </c>
      <c r="AZ18" s="57">
        <f t="shared" si="32"/>
        <v>82787.925037306224</v>
      </c>
      <c r="BA18" s="84">
        <f t="shared" si="33"/>
        <v>834.59494596919387</v>
      </c>
      <c r="BB18" s="206">
        <f t="shared" si="36"/>
        <v>933240.98080812197</v>
      </c>
      <c r="BC18" s="108">
        <f t="shared" si="34"/>
        <v>1166111.29546122</v>
      </c>
      <c r="BD18" s="89">
        <f t="shared" si="35"/>
        <v>0.68763345337027504</v>
      </c>
    </row>
    <row r="19" spans="1:57" s="27" customFormat="1" ht="16.5" thickBot="1" x14ac:dyDescent="0.3">
      <c r="A19" s="184" t="s">
        <v>95</v>
      </c>
      <c r="B19" s="186" t="s">
        <v>8</v>
      </c>
      <c r="C19" s="186" t="s">
        <v>8</v>
      </c>
      <c r="D19" s="186" t="s">
        <v>8</v>
      </c>
      <c r="E19" s="186" t="s">
        <v>8</v>
      </c>
      <c r="F19" s="186" t="s">
        <v>8</v>
      </c>
      <c r="G19" s="117">
        <f>'Исходные данные'!C21</f>
        <v>337</v>
      </c>
      <c r="H19" s="33">
        <f>'Исходные данные'!D21</f>
        <v>514349</v>
      </c>
      <c r="I19" s="34">
        <f>'Расчет КРП'!G17</f>
        <v>3.3809367834916477</v>
      </c>
      <c r="J19" s="124" t="s">
        <v>8</v>
      </c>
      <c r="K19" s="128">
        <f t="shared" si="4"/>
        <v>0.22114236279101671</v>
      </c>
      <c r="L19" s="81">
        <f t="shared" si="5"/>
        <v>217388.63168447095</v>
      </c>
      <c r="M19" s="77">
        <f t="shared" si="6"/>
        <v>0.31460776401588542</v>
      </c>
      <c r="N19" s="32" t="s">
        <v>8</v>
      </c>
      <c r="O19" s="35">
        <f t="shared" si="7"/>
        <v>4.3159508485377807E-2</v>
      </c>
      <c r="P19" s="36">
        <f t="shared" si="8"/>
        <v>132104.78118432677</v>
      </c>
      <c r="Q19" s="84">
        <f t="shared" si="9"/>
        <v>132104.78118432677</v>
      </c>
      <c r="R19" s="191" t="s">
        <v>8</v>
      </c>
      <c r="S19" s="32" t="s">
        <v>8</v>
      </c>
      <c r="T19" s="37">
        <f t="shared" si="10"/>
        <v>0.37140570363877223</v>
      </c>
      <c r="U19" s="35">
        <f t="shared" si="11"/>
        <v>6.1384987633955446E-2</v>
      </c>
      <c r="V19" s="57">
        <f t="shared" si="12"/>
        <v>216329.71208985656</v>
      </c>
      <c r="W19" s="84">
        <f t="shared" si="13"/>
        <v>216329.71208985656</v>
      </c>
      <c r="X19" s="80" t="s">
        <v>8</v>
      </c>
      <c r="Y19" s="32" t="s">
        <v>8</v>
      </c>
      <c r="Z19" s="37">
        <f t="shared" si="14"/>
        <v>0.46441582648036672</v>
      </c>
      <c r="AA19" s="35">
        <f t="shared" si="15"/>
        <v>3.787984753916307E-2</v>
      </c>
      <c r="AB19" s="57">
        <f t="shared" si="16"/>
        <v>144538.05988035366</v>
      </c>
      <c r="AC19" s="84">
        <f t="shared" si="17"/>
        <v>144538.05988035366</v>
      </c>
      <c r="AD19" s="80" t="s">
        <v>8</v>
      </c>
      <c r="AE19" s="32" t="s">
        <v>8</v>
      </c>
      <c r="AF19" s="37">
        <f t="shared" si="18"/>
        <v>0.52655940618047481</v>
      </c>
      <c r="AG19" s="35">
        <f t="shared" si="19"/>
        <v>3.7576541679996689E-2</v>
      </c>
      <c r="AH19" s="57">
        <f t="shared" si="20"/>
        <v>155021.72682510797</v>
      </c>
      <c r="AI19" s="84">
        <f t="shared" si="21"/>
        <v>155021.72682510797</v>
      </c>
      <c r="AJ19" s="80" t="s">
        <v>8</v>
      </c>
      <c r="AK19" s="32" t="s">
        <v>8</v>
      </c>
      <c r="AL19" s="37">
        <f t="shared" si="22"/>
        <v>0.59321039792741692</v>
      </c>
      <c r="AM19" s="35">
        <f t="shared" si="23"/>
        <v>2.4882063335911364E-2</v>
      </c>
      <c r="AN19" s="57">
        <f t="shared" si="24"/>
        <v>108620.13658903186</v>
      </c>
      <c r="AO19" s="84">
        <f t="shared" si="25"/>
        <v>108620.13658903186</v>
      </c>
      <c r="AP19" s="80" t="s">
        <v>8</v>
      </c>
      <c r="AQ19" s="32" t="s">
        <v>8</v>
      </c>
      <c r="AR19" s="37">
        <f t="shared" si="26"/>
        <v>0.63991120545689872</v>
      </c>
      <c r="AS19" s="35">
        <f t="shared" si="27"/>
        <v>2.336131901930727E-2</v>
      </c>
      <c r="AT19" s="57">
        <f t="shared" si="28"/>
        <v>107194.71653090416</v>
      </c>
      <c r="AU19" s="84">
        <f t="shared" si="29"/>
        <v>107194.71653090416</v>
      </c>
      <c r="AV19" s="80" t="s">
        <v>8</v>
      </c>
      <c r="AW19" s="32" t="s">
        <v>8</v>
      </c>
      <c r="AX19" s="37">
        <f t="shared" si="30"/>
        <v>0.68599915914662579</v>
      </c>
      <c r="AY19" s="35">
        <f t="shared" si="31"/>
        <v>1.6350228909005282E-2</v>
      </c>
      <c r="AZ19" s="57">
        <f t="shared" si="32"/>
        <v>79416.425523577011</v>
      </c>
      <c r="BA19" s="84">
        <f t="shared" si="33"/>
        <v>800.60645727077542</v>
      </c>
      <c r="BB19" s="206">
        <f t="shared" si="36"/>
        <v>864609.7395568518</v>
      </c>
      <c r="BC19" s="108">
        <f t="shared" si="34"/>
        <v>1081998.3712413227</v>
      </c>
      <c r="BD19" s="89">
        <f t="shared" si="35"/>
        <v>0.68634337679578339</v>
      </c>
    </row>
    <row r="20" spans="1:57" s="27" customFormat="1" ht="15.75" customHeight="1" thickBot="1" x14ac:dyDescent="0.3">
      <c r="A20" s="184" t="s">
        <v>96</v>
      </c>
      <c r="B20" s="186" t="s">
        <v>8</v>
      </c>
      <c r="C20" s="186" t="s">
        <v>8</v>
      </c>
      <c r="D20" s="186" t="s">
        <v>8</v>
      </c>
      <c r="E20" s="186" t="s">
        <v>8</v>
      </c>
      <c r="F20" s="186" t="s">
        <v>8</v>
      </c>
      <c r="G20" s="117">
        <f>'Исходные данные'!C22</f>
        <v>769</v>
      </c>
      <c r="H20" s="33">
        <f>'Исходные данные'!D22</f>
        <v>1113726</v>
      </c>
      <c r="I20" s="34">
        <f>'Расчет КРП'!G18</f>
        <v>4.2153385428852177</v>
      </c>
      <c r="J20" s="124" t="s">
        <v>8</v>
      </c>
      <c r="K20" s="128">
        <f t="shared" si="4"/>
        <v>0.16830637108458046</v>
      </c>
      <c r="L20" s="81">
        <f t="shared" si="5"/>
        <v>496058.92511975713</v>
      </c>
      <c r="M20" s="77">
        <f t="shared" si="6"/>
        <v>0.24327083948257422</v>
      </c>
      <c r="N20" s="32" t="s">
        <v>8</v>
      </c>
      <c r="O20" s="35">
        <f t="shared" si="7"/>
        <v>0.114496433018689</v>
      </c>
      <c r="P20" s="36">
        <f t="shared" si="8"/>
        <v>997070.4627697008</v>
      </c>
      <c r="Q20" s="84">
        <f t="shared" si="9"/>
        <v>997070.4627697008</v>
      </c>
      <c r="R20" s="191" t="s">
        <v>8</v>
      </c>
      <c r="S20" s="32" t="s">
        <v>8</v>
      </c>
      <c r="T20" s="37">
        <f t="shared" si="10"/>
        <v>0.39394821551976072</v>
      </c>
      <c r="U20" s="35">
        <f t="shared" si="11"/>
        <v>3.8842475752966954E-2</v>
      </c>
      <c r="V20" s="57">
        <f t="shared" si="12"/>
        <v>389450.93503647158</v>
      </c>
      <c r="W20" s="84">
        <f t="shared" si="13"/>
        <v>389450.93503647158</v>
      </c>
      <c r="X20" s="80" t="s">
        <v>8</v>
      </c>
      <c r="Y20" s="32" t="s">
        <v>8</v>
      </c>
      <c r="Z20" s="37">
        <f t="shared" si="14"/>
        <v>0.45280207507901071</v>
      </c>
      <c r="AA20" s="35">
        <f t="shared" si="15"/>
        <v>4.9493598940519079E-2</v>
      </c>
      <c r="AB20" s="57">
        <f t="shared" si="16"/>
        <v>537297.57609694614</v>
      </c>
      <c r="AC20" s="84">
        <f t="shared" si="17"/>
        <v>537297.57609694614</v>
      </c>
      <c r="AD20" s="80" t="s">
        <v>8</v>
      </c>
      <c r="AE20" s="32" t="s">
        <v>8</v>
      </c>
      <c r="AF20" s="37">
        <f t="shared" si="18"/>
        <v>0.53399853204007486</v>
      </c>
      <c r="AG20" s="35">
        <f t="shared" si="19"/>
        <v>3.013741582039664E-2</v>
      </c>
      <c r="AH20" s="57">
        <f t="shared" si="20"/>
        <v>353731.40644130594</v>
      </c>
      <c r="AI20" s="84">
        <f t="shared" si="21"/>
        <v>353731.40644130594</v>
      </c>
      <c r="AJ20" s="80" t="s">
        <v>8</v>
      </c>
      <c r="AK20" s="32" t="s">
        <v>8</v>
      </c>
      <c r="AL20" s="37">
        <f t="shared" si="22"/>
        <v>0.58745445329609391</v>
      </c>
      <c r="AM20" s="35">
        <f t="shared" si="23"/>
        <v>3.0638007967234371E-2</v>
      </c>
      <c r="AN20" s="57">
        <f t="shared" si="24"/>
        <v>380518.98190536274</v>
      </c>
      <c r="AO20" s="84">
        <f t="shared" si="25"/>
        <v>380518.98190536274</v>
      </c>
      <c r="AP20" s="80" t="s">
        <v>8</v>
      </c>
      <c r="AQ20" s="32" t="s">
        <v>8</v>
      </c>
      <c r="AR20" s="37">
        <f t="shared" si="26"/>
        <v>0.64495851531250614</v>
      </c>
      <c r="AS20" s="35">
        <f t="shared" si="27"/>
        <v>1.8314009163699851E-2</v>
      </c>
      <c r="AT20" s="57">
        <f t="shared" si="28"/>
        <v>239084.43047941543</v>
      </c>
      <c r="AU20" s="84">
        <f t="shared" si="29"/>
        <v>239084.43047941543</v>
      </c>
      <c r="AV20" s="80" t="s">
        <v>8</v>
      </c>
      <c r="AW20" s="32" t="s">
        <v>8</v>
      </c>
      <c r="AX20" s="37">
        <f t="shared" si="30"/>
        <v>0.68108897547668834</v>
      </c>
      <c r="AY20" s="35">
        <f t="shared" si="31"/>
        <v>2.1260412578942733E-2</v>
      </c>
      <c r="AZ20" s="57">
        <f t="shared" si="32"/>
        <v>293798.81157375255</v>
      </c>
      <c r="BA20" s="84">
        <f t="shared" si="33"/>
        <v>2961.8208592704195</v>
      </c>
      <c r="BB20" s="206">
        <f t="shared" si="36"/>
        <v>2900115.6135884728</v>
      </c>
      <c r="BC20" s="108">
        <f t="shared" si="34"/>
        <v>3396174.53870823</v>
      </c>
      <c r="BD20" s="89">
        <f t="shared" si="35"/>
        <v>0.68153656610546642</v>
      </c>
    </row>
    <row r="21" spans="1:57" s="27" customFormat="1" ht="16.5" thickBot="1" x14ac:dyDescent="0.3">
      <c r="A21" s="184" t="s">
        <v>97</v>
      </c>
      <c r="B21" s="187" t="s">
        <v>8</v>
      </c>
      <c r="C21" s="187" t="s">
        <v>8</v>
      </c>
      <c r="D21" s="187" t="s">
        <v>8</v>
      </c>
      <c r="E21" s="187" t="s">
        <v>8</v>
      </c>
      <c r="F21" s="187" t="s">
        <v>8</v>
      </c>
      <c r="G21" s="171">
        <f>'Исходные данные'!C23</f>
        <v>276</v>
      </c>
      <c r="H21" s="172">
        <f>'Исходные данные'!D23</f>
        <v>509509</v>
      </c>
      <c r="I21" s="173">
        <f>'Расчет КРП'!G19</f>
        <v>3.4468204576294981</v>
      </c>
      <c r="J21" s="174" t="s">
        <v>8</v>
      </c>
      <c r="K21" s="175">
        <f t="shared" si="4"/>
        <v>0.26236452515225117</v>
      </c>
      <c r="L21" s="176">
        <f t="shared" si="5"/>
        <v>178039.35413921063</v>
      </c>
      <c r="M21" s="177">
        <f t="shared" si="6"/>
        <v>0.35404339757088849</v>
      </c>
      <c r="N21" s="178" t="s">
        <v>8</v>
      </c>
      <c r="O21" s="179">
        <f t="shared" si="7"/>
        <v>3.7238749303747376E-3</v>
      </c>
      <c r="P21" s="36">
        <f t="shared" si="8"/>
        <v>9516.9530093197536</v>
      </c>
      <c r="Q21" s="180">
        <f t="shared" si="9"/>
        <v>9516.9530093197536</v>
      </c>
      <c r="R21" s="192" t="s">
        <v>8</v>
      </c>
      <c r="S21" s="178" t="s">
        <v>8</v>
      </c>
      <c r="T21" s="181">
        <f t="shared" si="10"/>
        <v>0.35894401926194097</v>
      </c>
      <c r="U21" s="179">
        <f t="shared" si="11"/>
        <v>7.3846672010786707E-2</v>
      </c>
      <c r="V21" s="57">
        <f t="shared" si="12"/>
        <v>217292.99220222179</v>
      </c>
      <c r="W21" s="180">
        <f t="shared" si="13"/>
        <v>217292.99220222179</v>
      </c>
      <c r="X21" s="170" t="s">
        <v>8</v>
      </c>
      <c r="Y21" s="178" t="s">
        <v>8</v>
      </c>
      <c r="Z21" s="181">
        <f t="shared" si="14"/>
        <v>0.47083600295221484</v>
      </c>
      <c r="AA21" s="179">
        <f t="shared" si="15"/>
        <v>3.1459671067314954E-2</v>
      </c>
      <c r="AB21" s="57">
        <f t="shared" si="16"/>
        <v>100227.97793410737</v>
      </c>
      <c r="AC21" s="180">
        <f t="shared" si="17"/>
        <v>100227.97793410737</v>
      </c>
      <c r="AD21" s="170" t="s">
        <v>8</v>
      </c>
      <c r="AE21" s="178" t="s">
        <v>8</v>
      </c>
      <c r="AF21" s="181">
        <f t="shared" si="18"/>
        <v>0.52244699674752049</v>
      </c>
      <c r="AG21" s="179">
        <f t="shared" si="19"/>
        <v>4.1688951112951012E-2</v>
      </c>
      <c r="AH21" s="57">
        <f t="shared" si="20"/>
        <v>143601.01966812834</v>
      </c>
      <c r="AI21" s="180">
        <f t="shared" si="21"/>
        <v>143601.01966812834</v>
      </c>
      <c r="AJ21" s="170" t="s">
        <v>8</v>
      </c>
      <c r="AK21" s="178" t="s">
        <v>8</v>
      </c>
      <c r="AL21" s="181">
        <f t="shared" si="22"/>
        <v>0.59639233105291567</v>
      </c>
      <c r="AM21" s="179">
        <f t="shared" si="23"/>
        <v>2.1700130210412616E-2</v>
      </c>
      <c r="AN21" s="57">
        <f t="shared" si="24"/>
        <v>79094.645855112147</v>
      </c>
      <c r="AO21" s="180">
        <f t="shared" si="25"/>
        <v>79094.645855112147</v>
      </c>
      <c r="AP21" s="170" t="s">
        <v>8</v>
      </c>
      <c r="AQ21" s="178" t="s">
        <v>8</v>
      </c>
      <c r="AR21" s="181">
        <f t="shared" si="26"/>
        <v>0.63712101141354116</v>
      </c>
      <c r="AS21" s="179">
        <f t="shared" si="27"/>
        <v>2.6151513062664833E-2</v>
      </c>
      <c r="AT21" s="57">
        <f t="shared" si="28"/>
        <v>100192.13563039902</v>
      </c>
      <c r="AU21" s="180">
        <f t="shared" si="29"/>
        <v>100192.13563039902</v>
      </c>
      <c r="AV21" s="170" t="s">
        <v>8</v>
      </c>
      <c r="AW21" s="178" t="s">
        <v>8</v>
      </c>
      <c r="AX21" s="181">
        <f t="shared" si="30"/>
        <v>0.68871354871643398</v>
      </c>
      <c r="AY21" s="179">
        <f t="shared" si="31"/>
        <v>1.3635839339197098E-2</v>
      </c>
      <c r="AZ21" s="57">
        <f t="shared" si="32"/>
        <v>55300.513862018357</v>
      </c>
      <c r="BA21" s="180">
        <f t="shared" si="33"/>
        <v>557.49107563623545</v>
      </c>
      <c r="BB21" s="206">
        <f t="shared" si="36"/>
        <v>650483.21537492459</v>
      </c>
      <c r="BC21" s="108">
        <f t="shared" si="34"/>
        <v>828522.56951413525</v>
      </c>
      <c r="BD21" s="89">
        <f t="shared" si="35"/>
        <v>0.68900062093956627</v>
      </c>
    </row>
    <row r="22" spans="1:57" s="27" customFormat="1" ht="16.5" thickBot="1" x14ac:dyDescent="0.3">
      <c r="A22" s="144" t="s">
        <v>98</v>
      </c>
      <c r="B22" s="187" t="s">
        <v>8</v>
      </c>
      <c r="C22" s="187" t="s">
        <v>8</v>
      </c>
      <c r="D22" s="187" t="s">
        <v>8</v>
      </c>
      <c r="E22" s="187" t="s">
        <v>8</v>
      </c>
      <c r="F22" s="187" t="s">
        <v>8</v>
      </c>
      <c r="G22" s="171">
        <f>'Исходные данные'!C24</f>
        <v>484</v>
      </c>
      <c r="H22" s="172">
        <f>'Исходные данные'!D24</f>
        <v>1042393</v>
      </c>
      <c r="I22" s="173">
        <f>'Расчет КРП'!G20</f>
        <v>3.9911094473819664</v>
      </c>
      <c r="J22" s="174" t="s">
        <v>8</v>
      </c>
      <c r="K22" s="175">
        <f t="shared" si="4"/>
        <v>0.26434645098804604</v>
      </c>
      <c r="L22" s="176">
        <f t="shared" si="5"/>
        <v>312213.93986731139</v>
      </c>
      <c r="M22" s="177">
        <f t="shared" si="6"/>
        <v>0.34352258412873193</v>
      </c>
      <c r="N22" s="178" t="s">
        <v>8</v>
      </c>
      <c r="O22" s="179">
        <f t="shared" si="7"/>
        <v>1.4244688372531289E-2</v>
      </c>
      <c r="P22" s="36">
        <f t="shared" si="8"/>
        <v>73920.866063367401</v>
      </c>
      <c r="Q22" s="180">
        <f t="shared" si="9"/>
        <v>73920.866063367401</v>
      </c>
      <c r="R22" s="192" t="s">
        <v>8</v>
      </c>
      <c r="S22" s="178" t="s">
        <v>8</v>
      </c>
      <c r="T22" s="181">
        <f t="shared" si="10"/>
        <v>0.36226860275876288</v>
      </c>
      <c r="U22" s="179">
        <f t="shared" si="11"/>
        <v>7.0522088513964798E-2</v>
      </c>
      <c r="V22" s="57">
        <f t="shared" si="12"/>
        <v>421357.9698861189</v>
      </c>
      <c r="W22" s="180">
        <f t="shared" si="13"/>
        <v>421357.9698861189</v>
      </c>
      <c r="X22" s="170" t="s">
        <v>8</v>
      </c>
      <c r="Y22" s="178" t="s">
        <v>8</v>
      </c>
      <c r="Z22" s="181">
        <f t="shared" si="14"/>
        <v>0.46912319976289046</v>
      </c>
      <c r="AA22" s="179">
        <f t="shared" si="15"/>
        <v>3.3172474256639328E-2</v>
      </c>
      <c r="AB22" s="57">
        <f t="shared" si="16"/>
        <v>214597.13133011284</v>
      </c>
      <c r="AC22" s="180">
        <f t="shared" si="17"/>
        <v>214597.13133011284</v>
      </c>
      <c r="AD22" s="170" t="s">
        <v>8</v>
      </c>
      <c r="AE22" s="178" t="s">
        <v>8</v>
      </c>
      <c r="AF22" s="181">
        <f t="shared" si="18"/>
        <v>0.52354412359807623</v>
      </c>
      <c r="AG22" s="179">
        <f t="shared" si="19"/>
        <v>4.0591824262395271E-2</v>
      </c>
      <c r="AH22" s="57">
        <f t="shared" si="20"/>
        <v>283913.71996613196</v>
      </c>
      <c r="AI22" s="180">
        <f t="shared" si="21"/>
        <v>283913.71996613196</v>
      </c>
      <c r="AJ22" s="170" t="s">
        <v>8</v>
      </c>
      <c r="AK22" s="178" t="s">
        <v>8</v>
      </c>
      <c r="AL22" s="181">
        <f t="shared" si="22"/>
        <v>0.59554344080364163</v>
      </c>
      <c r="AM22" s="179">
        <f t="shared" si="23"/>
        <v>2.2549020459686653E-2</v>
      </c>
      <c r="AN22" s="57">
        <f t="shared" si="24"/>
        <v>166887.45118272121</v>
      </c>
      <c r="AO22" s="180">
        <f t="shared" si="25"/>
        <v>166887.45118272121</v>
      </c>
      <c r="AP22" s="170" t="s">
        <v>8</v>
      </c>
      <c r="AQ22" s="178" t="s">
        <v>8</v>
      </c>
      <c r="AR22" s="181">
        <f t="shared" si="26"/>
        <v>0.63786539177088064</v>
      </c>
      <c r="AS22" s="179">
        <f t="shared" si="27"/>
        <v>2.5407132705325353E-2</v>
      </c>
      <c r="AT22" s="57">
        <f t="shared" si="28"/>
        <v>197653.142611886</v>
      </c>
      <c r="AU22" s="180">
        <f t="shared" si="29"/>
        <v>197653.142611886</v>
      </c>
      <c r="AV22" s="170" t="s">
        <v>8</v>
      </c>
      <c r="AW22" s="178" t="s">
        <v>8</v>
      </c>
      <c r="AX22" s="181">
        <f t="shared" si="30"/>
        <v>0.68798939181317387</v>
      </c>
      <c r="AY22" s="179">
        <f t="shared" si="31"/>
        <v>1.4359996242457207E-2</v>
      </c>
      <c r="AZ22" s="57">
        <f t="shared" si="32"/>
        <v>118253.19206543258</v>
      </c>
      <c r="BA22" s="180">
        <f t="shared" si="33"/>
        <v>1192.1245326303413</v>
      </c>
      <c r="BB22" s="206">
        <f t="shared" si="36"/>
        <v>1359522.4055729688</v>
      </c>
      <c r="BC22" s="108">
        <f t="shared" si="34"/>
        <v>1671736.3454402802</v>
      </c>
      <c r="BD22" s="89">
        <f t="shared" si="35"/>
        <v>0.68829170954682783</v>
      </c>
    </row>
    <row r="23" spans="1:57" s="27" customFormat="1" ht="16.5" thickBot="1" x14ac:dyDescent="0.3">
      <c r="A23" s="144" t="s">
        <v>99</v>
      </c>
      <c r="B23" s="187" t="s">
        <v>8</v>
      </c>
      <c r="C23" s="187" t="s">
        <v>8</v>
      </c>
      <c r="D23" s="187" t="s">
        <v>8</v>
      </c>
      <c r="E23" s="187" t="s">
        <v>8</v>
      </c>
      <c r="F23" s="187" t="s">
        <v>8</v>
      </c>
      <c r="G23" s="171">
        <f>'Исходные данные'!C25</f>
        <v>764</v>
      </c>
      <c r="H23" s="172">
        <f>'Исходные данные'!D25</f>
        <v>823252</v>
      </c>
      <c r="I23" s="173">
        <f>'Расчет КРП'!G21</f>
        <v>4.4152355996443777</v>
      </c>
      <c r="J23" s="174" t="s">
        <v>8</v>
      </c>
      <c r="K23" s="175">
        <f t="shared" si="4"/>
        <v>0.11955467139950125</v>
      </c>
      <c r="L23" s="176">
        <f t="shared" si="5"/>
        <v>492833.57450129313</v>
      </c>
      <c r="M23" s="177">
        <f t="shared" si="6"/>
        <v>0.19112516992746564</v>
      </c>
      <c r="N23" s="178" t="s">
        <v>8</v>
      </c>
      <c r="O23" s="179">
        <f t="shared" si="7"/>
        <v>0.16664210257379758</v>
      </c>
      <c r="P23" s="36">
        <f t="shared" si="8"/>
        <v>1510104.7460983212</v>
      </c>
      <c r="Q23" s="180">
        <f t="shared" si="9"/>
        <v>1510104.7460983212</v>
      </c>
      <c r="R23" s="192" t="s">
        <v>8</v>
      </c>
      <c r="S23" s="178" t="s">
        <v>8</v>
      </c>
      <c r="T23" s="181">
        <f t="shared" si="10"/>
        <v>0.41042627906368645</v>
      </c>
      <c r="U23" s="179">
        <f t="shared" si="11"/>
        <v>2.2364412209041229E-2</v>
      </c>
      <c r="V23" s="57">
        <f t="shared" si="12"/>
        <v>233341.38857914662</v>
      </c>
      <c r="W23" s="180">
        <f t="shared" si="13"/>
        <v>233341.38857914662</v>
      </c>
      <c r="X23" s="170" t="s">
        <v>8</v>
      </c>
      <c r="Y23" s="178" t="s">
        <v>8</v>
      </c>
      <c r="Z23" s="181">
        <f t="shared" si="14"/>
        <v>0.44431268691387477</v>
      </c>
      <c r="AA23" s="179">
        <f t="shared" si="15"/>
        <v>5.7982987105655026E-2</v>
      </c>
      <c r="AB23" s="57">
        <f t="shared" si="16"/>
        <v>655020.47209465713</v>
      </c>
      <c r="AC23" s="180">
        <f t="shared" si="17"/>
        <v>655020.47209465713</v>
      </c>
      <c r="AD23" s="170" t="s">
        <v>8</v>
      </c>
      <c r="AE23" s="178" t="s">
        <v>8</v>
      </c>
      <c r="AF23" s="181">
        <f t="shared" si="18"/>
        <v>0.53943636386968286</v>
      </c>
      <c r="AG23" s="179">
        <f t="shared" si="19"/>
        <v>2.4699583990788643E-2</v>
      </c>
      <c r="AH23" s="57">
        <f t="shared" si="20"/>
        <v>301679.42468025221</v>
      </c>
      <c r="AI23" s="180">
        <f t="shared" si="21"/>
        <v>301679.42468025221</v>
      </c>
      <c r="AJ23" s="170" t="s">
        <v>8</v>
      </c>
      <c r="AK23" s="178" t="s">
        <v>8</v>
      </c>
      <c r="AL23" s="181">
        <f t="shared" si="22"/>
        <v>0.58324698866699665</v>
      </c>
      <c r="AM23" s="179">
        <f t="shared" si="23"/>
        <v>3.4845472596331639E-2</v>
      </c>
      <c r="AN23" s="57">
        <f t="shared" si="24"/>
        <v>450350.451462831</v>
      </c>
      <c r="AO23" s="180">
        <f t="shared" si="25"/>
        <v>450350.451462831</v>
      </c>
      <c r="AP23" s="170" t="s">
        <v>8</v>
      </c>
      <c r="AQ23" s="178" t="s">
        <v>8</v>
      </c>
      <c r="AR23" s="181">
        <f t="shared" si="26"/>
        <v>0.64864798403567558</v>
      </c>
      <c r="AS23" s="179">
        <f t="shared" si="27"/>
        <v>1.4624540440530409E-2</v>
      </c>
      <c r="AT23" s="57">
        <f t="shared" si="28"/>
        <v>198672.85729171828</v>
      </c>
      <c r="AU23" s="180">
        <f t="shared" si="29"/>
        <v>198672.85729171828</v>
      </c>
      <c r="AV23" s="170" t="s">
        <v>8</v>
      </c>
      <c r="AW23" s="178" t="s">
        <v>8</v>
      </c>
      <c r="AX23" s="181">
        <f t="shared" si="30"/>
        <v>0.67749974287684633</v>
      </c>
      <c r="AY23" s="179">
        <f t="shared" si="31"/>
        <v>2.4849645178784741E-2</v>
      </c>
      <c r="AZ23" s="57">
        <f t="shared" si="32"/>
        <v>357344.39994651161</v>
      </c>
      <c r="BA23" s="180">
        <f t="shared" si="33"/>
        <v>3602.4315143948802</v>
      </c>
      <c r="BB23" s="206">
        <f t="shared" si="36"/>
        <v>3352771.7717213212</v>
      </c>
      <c r="BC23" s="108">
        <f t="shared" si="34"/>
        <v>3845605.3462226144</v>
      </c>
      <c r="BD23" s="89">
        <f t="shared" si="35"/>
        <v>0.6780228968029135</v>
      </c>
    </row>
    <row r="24" spans="1:57" s="27" customFormat="1" ht="16.5" thickBot="1" x14ac:dyDescent="0.3">
      <c r="A24" s="144" t="s">
        <v>84</v>
      </c>
      <c r="B24" s="187" t="s">
        <v>8</v>
      </c>
      <c r="C24" s="187" t="s">
        <v>8</v>
      </c>
      <c r="D24" s="187" t="s">
        <v>8</v>
      </c>
      <c r="E24" s="187" t="s">
        <v>8</v>
      </c>
      <c r="F24" s="187" t="s">
        <v>8</v>
      </c>
      <c r="G24" s="171">
        <f>'Исходные данные'!C26</f>
        <v>10241</v>
      </c>
      <c r="H24" s="172">
        <f>'Исходные данные'!D26</f>
        <v>23419524</v>
      </c>
      <c r="I24" s="173">
        <f>'Расчет КРП'!G22</f>
        <v>2.225352112676056</v>
      </c>
      <c r="J24" s="174" t="s">
        <v>8</v>
      </c>
      <c r="K24" s="175">
        <f t="shared" si="4"/>
        <v>0.50340550031791076</v>
      </c>
      <c r="L24" s="176">
        <f t="shared" si="5"/>
        <v>6606163.136737884</v>
      </c>
      <c r="M24" s="177">
        <f t="shared" si="6"/>
        <v>0.64540577577317926</v>
      </c>
      <c r="N24" s="178" t="s">
        <v>8</v>
      </c>
      <c r="O24" s="179">
        <f t="shared" si="7"/>
        <v>-0.28763850327191604</v>
      </c>
      <c r="P24" s="36">
        <f t="shared" si="8"/>
        <v>0</v>
      </c>
      <c r="Q24" s="180">
        <f t="shared" si="9"/>
        <v>0</v>
      </c>
      <c r="R24" s="192" t="s">
        <v>8</v>
      </c>
      <c r="S24" s="178" t="s">
        <v>8</v>
      </c>
      <c r="T24" s="181">
        <f t="shared" si="10"/>
        <v>0.64540577577317926</v>
      </c>
      <c r="U24" s="179">
        <f t="shared" si="11"/>
        <v>-0.21261508450045158</v>
      </c>
      <c r="V24" s="57">
        <f t="shared" si="12"/>
        <v>0</v>
      </c>
      <c r="W24" s="180">
        <f t="shared" si="13"/>
        <v>0</v>
      </c>
      <c r="X24" s="170" t="s">
        <v>8</v>
      </c>
      <c r="Y24" s="178" t="s">
        <v>8</v>
      </c>
      <c r="Z24" s="181">
        <f t="shared" si="14"/>
        <v>0.64540577577317926</v>
      </c>
      <c r="AA24" s="179">
        <f t="shared" si="15"/>
        <v>-0.14311010175364947</v>
      </c>
      <c r="AB24" s="57">
        <f t="shared" si="16"/>
        <v>0</v>
      </c>
      <c r="AC24" s="180">
        <f t="shared" si="17"/>
        <v>0</v>
      </c>
      <c r="AD24" s="170" t="s">
        <v>8</v>
      </c>
      <c r="AE24" s="178" t="s">
        <v>8</v>
      </c>
      <c r="AF24" s="181">
        <f t="shared" si="18"/>
        <v>0.64540577577317926</v>
      </c>
      <c r="AG24" s="179">
        <f t="shared" si="19"/>
        <v>-8.1269827912707759E-2</v>
      </c>
      <c r="AH24" s="57">
        <f t="shared" si="20"/>
        <v>0</v>
      </c>
      <c r="AI24" s="180">
        <f t="shared" si="21"/>
        <v>0</v>
      </c>
      <c r="AJ24" s="170" t="s">
        <v>8</v>
      </c>
      <c r="AK24" s="178" t="s">
        <v>8</v>
      </c>
      <c r="AL24" s="181">
        <f t="shared" si="22"/>
        <v>0.64540577577317926</v>
      </c>
      <c r="AM24" s="179">
        <f t="shared" si="23"/>
        <v>-2.7313314509850972E-2</v>
      </c>
      <c r="AN24" s="57">
        <f t="shared" si="24"/>
        <v>0</v>
      </c>
      <c r="AO24" s="180">
        <f t="shared" si="25"/>
        <v>0</v>
      </c>
      <c r="AP24" s="170" t="s">
        <v>8</v>
      </c>
      <c r="AQ24" s="178" t="s">
        <v>8</v>
      </c>
      <c r="AR24" s="181">
        <f t="shared" si="26"/>
        <v>0.64540577577317926</v>
      </c>
      <c r="AS24" s="179">
        <f t="shared" si="27"/>
        <v>1.7866748703026736E-2</v>
      </c>
      <c r="AT24" s="57">
        <f t="shared" si="28"/>
        <v>1639818.1996746724</v>
      </c>
      <c r="AU24" s="180">
        <f t="shared" si="29"/>
        <v>1639818.1996746724</v>
      </c>
      <c r="AV24" s="170" t="s">
        <v>8</v>
      </c>
      <c r="AW24" s="178" t="s">
        <v>8</v>
      </c>
      <c r="AX24" s="181">
        <f t="shared" si="30"/>
        <v>0.68065386626543889</v>
      </c>
      <c r="AY24" s="179">
        <f t="shared" si="31"/>
        <v>2.1695521790192185E-2</v>
      </c>
      <c r="AZ24" s="57">
        <f t="shared" si="32"/>
        <v>2107806.5573869823</v>
      </c>
      <c r="BA24" s="180">
        <f t="shared" si="33"/>
        <v>21249.049291707448</v>
      </c>
      <c r="BB24" s="206">
        <f>Q24+W24+AC24+AI24+AO24+AU24+BA24</f>
        <v>1661067.2489663798</v>
      </c>
      <c r="BC24" s="108">
        <f>L24+BB24-0.01</f>
        <v>8267230.3757042643</v>
      </c>
      <c r="BD24" s="89">
        <f t="shared" si="35"/>
        <v>0.68111061693449249</v>
      </c>
    </row>
    <row r="25" spans="1:57" s="31" customFormat="1" ht="16.5" thickBot="1" x14ac:dyDescent="0.3">
      <c r="A25" s="112" t="s">
        <v>6</v>
      </c>
      <c r="B25" s="140">
        <v>39562818</v>
      </c>
      <c r="C25" s="135">
        <v>29</v>
      </c>
      <c r="D25" s="85">
        <f>B25*C25/100</f>
        <v>11473217.220000001</v>
      </c>
      <c r="E25" s="119">
        <f>100-C25</f>
        <v>71</v>
      </c>
      <c r="F25" s="85">
        <f>B25-D25</f>
        <v>28089600.780000001</v>
      </c>
      <c r="G25" s="118">
        <f>SUM(G9:G24)</f>
        <v>17786</v>
      </c>
      <c r="H25" s="118">
        <f>SUM(H9:H24)</f>
        <v>36307579</v>
      </c>
      <c r="I25" s="49" t="s">
        <v>8</v>
      </c>
      <c r="J25" s="204">
        <f>H25/G25</f>
        <v>2041.3571910491398</v>
      </c>
      <c r="K25" s="129" t="s">
        <v>8</v>
      </c>
      <c r="L25" s="82">
        <f>SUM(L9:L24)</f>
        <v>11473217.220000001</v>
      </c>
      <c r="M25" s="78" t="s">
        <v>8</v>
      </c>
      <c r="N25" s="50">
        <f>(SUMIF(M9:M24,"&lt;1")+1)/(COUNTIFS(M9:M24,"&lt;1")+1)</f>
        <v>0.35776727250126322</v>
      </c>
      <c r="O25" s="51" t="s">
        <v>8</v>
      </c>
      <c r="P25" s="48">
        <f>SUM(P9:P24)</f>
        <v>7232204.7275297688</v>
      </c>
      <c r="Q25" s="48">
        <f>SUM(Q9:Q24)</f>
        <v>7232204.7275297688</v>
      </c>
      <c r="R25" s="90">
        <f>F25-Q25</f>
        <v>20857396.052470233</v>
      </c>
      <c r="S25" s="50">
        <f>(SUMIF(T9:T24,"&lt;1")+1)/(COUNTIFS(T9:T24,"&lt;1")+1)</f>
        <v>0.43279069127272768</v>
      </c>
      <c r="T25" s="51" t="s">
        <v>8</v>
      </c>
      <c r="U25" s="51" t="s">
        <v>8</v>
      </c>
      <c r="V25" s="48">
        <f>SUM(V9:V24)</f>
        <v>4551202.0755091123</v>
      </c>
      <c r="W25" s="48">
        <f>SUM(W9:W24)</f>
        <v>4551202.0755091123</v>
      </c>
      <c r="X25" s="90">
        <f>R25-W25</f>
        <v>16306193.976961121</v>
      </c>
      <c r="Y25" s="50">
        <f>(SUMIF(Z9:Z24,"&lt;1")+1)/(COUNTIFS(Z9:Z24,"&lt;1")+1)</f>
        <v>0.50229567401952979</v>
      </c>
      <c r="Z25" s="51" t="s">
        <v>8</v>
      </c>
      <c r="AA25" s="51" t="s">
        <v>8</v>
      </c>
      <c r="AB25" s="48">
        <f>SUM(AB9:AB24)</f>
        <v>4835979.6464765631</v>
      </c>
      <c r="AC25" s="48">
        <f>SUM(AC9:AC24)</f>
        <v>4835979.6464765631</v>
      </c>
      <c r="AD25" s="90">
        <f>X25-AC25</f>
        <v>11470214.330484558</v>
      </c>
      <c r="AE25" s="50">
        <f>(SUMIF(AF9:AF24,"&lt;1")+1)/(COUNTIFS(AF9:AF24,"&lt;1")+1)</f>
        <v>0.5641359478604715</v>
      </c>
      <c r="AF25" s="51" t="s">
        <v>8</v>
      </c>
      <c r="AG25" s="51" t="s">
        <v>8</v>
      </c>
      <c r="AH25" s="48">
        <f>SUM(AH9:AH24)</f>
        <v>3745020.3970353431</v>
      </c>
      <c r="AI25" s="48">
        <f>SUM(AI9:AI24)</f>
        <v>3745020.3970353431</v>
      </c>
      <c r="AJ25" s="90">
        <f>AD25-AI25</f>
        <v>7725193.9334492143</v>
      </c>
      <c r="AK25" s="50">
        <f>(SUMIF(AL9:AL24,"&lt;1")+1)/(COUNTIFS(AL9:AL24,"&lt;1")+1)</f>
        <v>0.61809246126332829</v>
      </c>
      <c r="AL25" s="51" t="s">
        <v>8</v>
      </c>
      <c r="AM25" s="51" t="s">
        <v>8</v>
      </c>
      <c r="AN25" s="48">
        <f>SUM(AN9:AN24)</f>
        <v>3483544.3579910384</v>
      </c>
      <c r="AO25" s="48">
        <f>SUM(AO9:AO24)</f>
        <v>3483544.3579910384</v>
      </c>
      <c r="AP25" s="90">
        <f>AJ25-AO25</f>
        <v>4241649.5754581764</v>
      </c>
      <c r="AQ25" s="50">
        <f>(SUMIF(AR9:AR24,"&lt;1")+1)/(COUNTIFS(AR9:AR24,"&lt;1")+1)</f>
        <v>0.66327252447620599</v>
      </c>
      <c r="AR25" s="51" t="s">
        <v>8</v>
      </c>
      <c r="AS25" s="51" t="s">
        <v>8</v>
      </c>
      <c r="AT25" s="48">
        <f>SUM(AT9:AT24)</f>
        <v>4193706.3915892849</v>
      </c>
      <c r="AU25" s="85">
        <f>SUM(AU9:AU24)</f>
        <v>4193706.3915892849</v>
      </c>
      <c r="AV25" s="90">
        <f>AP25-AU25</f>
        <v>47943.18386889156</v>
      </c>
      <c r="AW25" s="50">
        <f>(SUMIF(AX9:AX24,"&lt;1")+1)/(COUNTIFS(AX9:AX24,"&lt;1")+1)</f>
        <v>0.70234938805563107</v>
      </c>
      <c r="AX25" s="51" t="s">
        <v>8</v>
      </c>
      <c r="AY25" s="51" t="s">
        <v>8</v>
      </c>
      <c r="AZ25" s="48">
        <f>SUM(AZ9:AZ24)</f>
        <v>4755740.1723519294</v>
      </c>
      <c r="BA25" s="48">
        <f>SUM(BA9:BA24)</f>
        <v>47943.18386889156</v>
      </c>
      <c r="BB25" s="207">
        <f>SUM(BB9:BB24)</f>
        <v>28089600.780000001</v>
      </c>
      <c r="BC25" s="208">
        <f t="shared" si="34"/>
        <v>39562818</v>
      </c>
      <c r="BD25" s="209" t="s">
        <v>8</v>
      </c>
      <c r="BE25" s="27"/>
    </row>
    <row r="26" spans="1:57" x14ac:dyDescent="0.2">
      <c r="BC26" s="141"/>
    </row>
    <row r="27" spans="1:57" x14ac:dyDescent="0.2">
      <c r="P27" s="26"/>
    </row>
    <row r="29" spans="1:57" x14ac:dyDescent="0.2">
      <c r="BB29" s="141"/>
      <c r="BC29" s="141"/>
    </row>
    <row r="30" spans="1:57" x14ac:dyDescent="0.2">
      <c r="M30" s="25"/>
    </row>
  </sheetData>
  <protectedRanges>
    <protectedRange sqref="A9:A24" name="Диапазон3_1"/>
    <protectedRange sqref="A9:A24" name="Диапазон2_1"/>
  </protectedRanges>
  <mergeCells count="25">
    <mergeCell ref="J4:J5"/>
    <mergeCell ref="M3:BA3"/>
    <mergeCell ref="K3:K5"/>
    <mergeCell ref="R4:W4"/>
    <mergeCell ref="X4:AC4"/>
    <mergeCell ref="AD4:AI4"/>
    <mergeCell ref="AJ4:AO4"/>
    <mergeCell ref="AP4:AU4"/>
    <mergeCell ref="AV4:BA4"/>
    <mergeCell ref="BB3:BB5"/>
    <mergeCell ref="BD3:BD5"/>
    <mergeCell ref="I4:I5"/>
    <mergeCell ref="BC3:BC5"/>
    <mergeCell ref="A3:A6"/>
    <mergeCell ref="B3:B5"/>
    <mergeCell ref="C3:F3"/>
    <mergeCell ref="C5:D5"/>
    <mergeCell ref="E5:F5"/>
    <mergeCell ref="C4:D4"/>
    <mergeCell ref="E4:F4"/>
    <mergeCell ref="G4:G5"/>
    <mergeCell ref="H4:H5"/>
    <mergeCell ref="M4:Q4"/>
    <mergeCell ref="L4:L5"/>
    <mergeCell ref="G3:J3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DOH1</cp:lastModifiedBy>
  <cp:lastPrinted>2022-11-14T03:02:28Z</cp:lastPrinted>
  <dcterms:created xsi:type="dcterms:W3CDTF">2013-11-15T09:40:24Z</dcterms:created>
  <dcterms:modified xsi:type="dcterms:W3CDTF">2024-11-13T08:18:11Z</dcterms:modified>
</cp:coreProperties>
</file>